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gor.Li\Desktop\QANAT INVEST\KASE reporting\1Q2025\"/>
    </mc:Choice>
  </mc:AlternateContent>
  <xr:revisionPtr revIDLastSave="0" documentId="13_ncr:1_{812AF20D-4D5F-4AB7-ADFE-FDDBFFAD442D}" xr6:coauthVersionLast="47" xr6:coauthVersionMax="47" xr10:uidLastSave="{00000000-0000-0000-0000-000000000000}"/>
  <bookViews>
    <workbookView xWindow="-28920" yWindow="-120" windowWidth="29040" windowHeight="15720" tabRatio="848" activeTab="3" xr2:uid="{00000000-000D-0000-FFFF-FFFF00000000}"/>
  </bookViews>
  <sheets>
    <sheet name="ОПИУ" sheetId="38" r:id="rId1"/>
    <sheet name="Баланс" sheetId="1" r:id="rId2"/>
    <sheet name="ОДДС" sheetId="5" r:id="rId3"/>
    <sheet name="Капитал" sheetId="4" r:id="rId4"/>
  </sheets>
  <definedNames>
    <definedName name="DA_3239837086000000828" hidden="1">#REF!</definedName>
    <definedName name="DA_3239837086000000844" hidden="1">#REF!</definedName>
    <definedName name="DA_3239837086000000848" hidden="1">#REF!</definedName>
    <definedName name="DA_3239837086000001240" hidden="1">#REF!</definedName>
    <definedName name="DA_3239837086000001242" hidden="1">#REF!</definedName>
    <definedName name="DA_3239837086000001244" hidden="1">#REF!</definedName>
    <definedName name="DA_3270939407300000966" hidden="1">#REF!</definedName>
    <definedName name="DA_3270939407300000969" hidden="1">#REF!</definedName>
    <definedName name="DA_3270939407300000972" hidden="1">#REF!</definedName>
    <definedName name="DA_3270939407300000974" hidden="1">#REF!</definedName>
    <definedName name="DA_3270939407300000977" hidden="1">#REF!</definedName>
    <definedName name="DA_3270939407300000980" hidden="1">#REF!</definedName>
    <definedName name="DA_3270939407300001152" hidden="1">#REF!</definedName>
    <definedName name="DA_3270939407300001163" hidden="1">#REF!</definedName>
    <definedName name="DL311c657d_4290_4025_8ee8_7490d2035bcb" hidden="1">#REF!</definedName>
    <definedName name="DL711dde99_2337_4864_b491_5e4f1b1f13eb" hidden="1">#REF!</definedName>
    <definedName name="DL95bdaf5a_a7d4_4be7_b681_1a4708d5f80b" hidden="1">#REF!</definedName>
    <definedName name="DLa92581ad_4175_48d0_9122_e6982b89105e" hidden="1">#REF!</definedName>
    <definedName name="DLbaa7e9de_b37f_40e7_bb4a_90ff2fe13e18" hidden="1">#REF!</definedName>
    <definedName name="DLcf617735_e9bf_4e98_aa2a_ca10c63a110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7" i="1" l="1"/>
  <c r="E24" i="38"/>
  <c r="E10" i="4" l="1"/>
  <c r="D10" i="4"/>
  <c r="C45" i="5" l="1"/>
  <c r="D18" i="5"/>
  <c r="D29" i="5" s="1"/>
  <c r="N14" i="5" l="1"/>
  <c r="M14" i="5"/>
  <c r="K2" i="5"/>
  <c r="E28" i="1" l="1"/>
  <c r="E21" i="1"/>
  <c r="E34" i="1"/>
  <c r="E35" i="1" l="1"/>
  <c r="M14" i="1"/>
  <c r="M21" i="1" s="1"/>
  <c r="E30" i="5" l="1"/>
  <c r="C30" i="5" s="1"/>
  <c r="O28" i="1" l="1"/>
  <c r="P28" i="1"/>
  <c r="N28" i="1"/>
  <c r="O34" i="1"/>
  <c r="O21" i="1"/>
  <c r="O35" i="1" l="1"/>
  <c r="O36" i="1" s="1"/>
  <c r="P34" i="1" l="1"/>
  <c r="P35" i="1" s="1"/>
  <c r="N21" i="1"/>
  <c r="E12" i="38" l="1"/>
  <c r="E19" i="38" l="1"/>
  <c r="E22" i="38" s="1"/>
  <c r="E25" i="38" l="1"/>
  <c r="F8" i="4" s="1"/>
  <c r="D12" i="38"/>
  <c r="S1" i="5"/>
  <c r="R1" i="5"/>
  <c r="L1" i="5"/>
  <c r="E14" i="5"/>
  <c r="C14" i="5" s="1"/>
  <c r="E16" i="5"/>
  <c r="C16" i="5" s="1"/>
  <c r="E12" i="5"/>
  <c r="V1" i="5"/>
  <c r="U1" i="5"/>
  <c r="T1" i="5"/>
  <c r="Q1" i="5"/>
  <c r="P1" i="5"/>
  <c r="E39" i="5" l="1"/>
  <c r="R2" i="5"/>
  <c r="L2" i="5"/>
  <c r="G22" i="4" l="1"/>
  <c r="E40" i="5"/>
  <c r="C40" i="5" s="1"/>
  <c r="C39" i="5"/>
  <c r="C41" i="5" s="1"/>
  <c r="E41" i="5"/>
  <c r="E13" i="5"/>
  <c r="C13" i="5" s="1"/>
  <c r="E17" i="5"/>
  <c r="C17" i="5" s="1"/>
  <c r="R28" i="1" l="1"/>
  <c r="R21" i="1" l="1"/>
  <c r="R33" i="1" s="1"/>
  <c r="R34" i="1" s="1"/>
  <c r="R35" i="1" s="1"/>
  <c r="R36" i="1" s="1"/>
  <c r="S17" i="1"/>
  <c r="D17" i="1" s="1"/>
  <c r="N1" i="5"/>
  <c r="M1" i="5"/>
  <c r="K1" i="5"/>
  <c r="J1" i="5"/>
  <c r="I1" i="5"/>
  <c r="G1" i="5"/>
  <c r="F1" i="5"/>
  <c r="D20" i="4"/>
  <c r="F10" i="4"/>
  <c r="F14" i="4" s="1"/>
  <c r="E14" i="4"/>
  <c r="D14" i="4"/>
  <c r="G12" i="4"/>
  <c r="G13" i="4"/>
  <c r="G9" i="4"/>
  <c r="G8" i="4"/>
  <c r="G7" i="4"/>
  <c r="D19" i="38" l="1"/>
  <c r="L7" i="5"/>
  <c r="L8" i="5" s="1"/>
  <c r="L22" i="5" s="1"/>
  <c r="E22" i="5" s="1"/>
  <c r="C22" i="5" s="1"/>
  <c r="D17" i="4"/>
  <c r="G10" i="4"/>
  <c r="G14" i="4" s="1"/>
  <c r="D23" i="4" l="1"/>
  <c r="G17" i="4"/>
  <c r="D22" i="38"/>
  <c r="F18" i="4" s="1"/>
  <c r="K36" i="1"/>
  <c r="W24" i="1" l="1"/>
  <c r="M31" i="1" l="1"/>
  <c r="S31" i="1" s="1"/>
  <c r="D31" i="1" s="1"/>
  <c r="M26" i="1" l="1"/>
  <c r="S26" i="1" s="1"/>
  <c r="D26" i="1" s="1"/>
  <c r="N2" i="5"/>
  <c r="M2" i="5"/>
  <c r="G2" i="5" l="1"/>
  <c r="J2" i="5"/>
  <c r="D15" i="4"/>
  <c r="T2" i="5"/>
  <c r="V2" i="5"/>
  <c r="S2" i="5"/>
  <c r="D24" i="4"/>
  <c r="T7" i="5"/>
  <c r="P2" i="5"/>
  <c r="U2" i="5"/>
  <c r="Q2" i="5"/>
  <c r="R7" i="5"/>
  <c r="R8" i="5" s="1"/>
  <c r="F2" i="5"/>
  <c r="H2" i="5"/>
  <c r="O2" i="5"/>
  <c r="I2" i="5"/>
  <c r="AA21" i="1"/>
  <c r="X21" i="1"/>
  <c r="T8" i="5" l="1"/>
  <c r="R25" i="5"/>
  <c r="R9" i="5" s="1"/>
  <c r="W2" i="5"/>
  <c r="AB30" i="1"/>
  <c r="AB29" i="1"/>
  <c r="AB23" i="1"/>
  <c r="AB22" i="1"/>
  <c r="V15" i="1"/>
  <c r="V21" i="1" s="1"/>
  <c r="X34" i="1"/>
  <c r="W34" i="1"/>
  <c r="V34" i="1"/>
  <c r="X28" i="1"/>
  <c r="V28" i="1"/>
  <c r="U32" i="1"/>
  <c r="Y32" i="1" s="1"/>
  <c r="Z32" i="1" s="1"/>
  <c r="AB32" i="1" s="1"/>
  <c r="T47" i="5" l="1"/>
  <c r="T9" i="5"/>
  <c r="R47" i="5"/>
  <c r="E25" i="5"/>
  <c r="C25" i="5" s="1"/>
  <c r="X35" i="1"/>
  <c r="X36" i="1" s="1"/>
  <c r="AB31" i="1"/>
  <c r="H36" i="1"/>
  <c r="W28" i="1"/>
  <c r="W35" i="1" s="1"/>
  <c r="V35" i="1"/>
  <c r="V36" i="1" s="1"/>
  <c r="AA34" i="1"/>
  <c r="AA28" i="1"/>
  <c r="U33" i="1"/>
  <c r="Y33" i="1" s="1"/>
  <c r="Z33" i="1" s="1"/>
  <c r="AB33" i="1" s="1"/>
  <c r="U31" i="1"/>
  <c r="Y31" i="1" s="1"/>
  <c r="S18" i="1"/>
  <c r="D18" i="1" s="1"/>
  <c r="U18" i="1"/>
  <c r="Y18" i="1" s="1"/>
  <c r="Z18" i="1" s="1"/>
  <c r="AB18" i="1" s="1"/>
  <c r="U15" i="1"/>
  <c r="U12" i="1"/>
  <c r="Y12" i="1" s="1"/>
  <c r="Z12" i="1" s="1"/>
  <c r="AB12" i="1" s="1"/>
  <c r="U13" i="1"/>
  <c r="Y13" i="1" s="1"/>
  <c r="Z13" i="1" s="1"/>
  <c r="AB13" i="1" s="1"/>
  <c r="M7" i="5" l="1"/>
  <c r="M8" i="5" s="1"/>
  <c r="M36" i="5" s="1"/>
  <c r="M47" i="5" s="1"/>
  <c r="Q34" i="1"/>
  <c r="Y34" i="1"/>
  <c r="U25" i="1"/>
  <c r="Y25" i="1" s="1"/>
  <c r="U19" i="1"/>
  <c r="Y19" i="1" s="1"/>
  <c r="Z19" i="1" s="1"/>
  <c r="AB19" i="1" s="1"/>
  <c r="U14" i="1"/>
  <c r="Y14" i="1" s="1"/>
  <c r="S19" i="1"/>
  <c r="D19" i="1" s="1"/>
  <c r="Y15" i="1"/>
  <c r="Z15" i="1" s="1"/>
  <c r="AB15" i="1" s="1"/>
  <c r="Z34" i="1"/>
  <c r="S12" i="1"/>
  <c r="D12" i="1" s="1"/>
  <c r="U34" i="1"/>
  <c r="U20" i="1"/>
  <c r="U16" i="1"/>
  <c r="S15" i="1"/>
  <c r="D15" i="1" s="1"/>
  <c r="U11" i="1"/>
  <c r="U27" i="1"/>
  <c r="Y27" i="1" s="1"/>
  <c r="U24" i="1"/>
  <c r="M34" i="1"/>
  <c r="E36" i="1"/>
  <c r="AA35" i="1"/>
  <c r="AA36" i="1" s="1"/>
  <c r="J7" i="5" l="1"/>
  <c r="J8" i="5" s="1"/>
  <c r="J20" i="5" s="1"/>
  <c r="N7" i="5"/>
  <c r="N8" i="5" s="1"/>
  <c r="N36" i="5" s="1"/>
  <c r="M9" i="5"/>
  <c r="G7" i="5"/>
  <c r="G8" i="5" s="1"/>
  <c r="G34" i="5" s="1"/>
  <c r="S27" i="1"/>
  <c r="D27" i="1" s="1"/>
  <c r="Z27" i="1"/>
  <c r="AB27" i="1" s="1"/>
  <c r="S25" i="1"/>
  <c r="D25" i="1" s="1"/>
  <c r="Z25" i="1"/>
  <c r="AB25" i="1" s="1"/>
  <c r="S14" i="1"/>
  <c r="D14" i="1" s="1"/>
  <c r="Z14" i="1"/>
  <c r="AB14" i="1" s="1"/>
  <c r="Y24" i="1"/>
  <c r="U28" i="1"/>
  <c r="U35" i="1" s="1"/>
  <c r="U21" i="1"/>
  <c r="Y11" i="1"/>
  <c r="M28" i="1" l="1"/>
  <c r="M35" i="1" s="1"/>
  <c r="S24" i="1"/>
  <c r="D24" i="1" s="1"/>
  <c r="Q7" i="5"/>
  <c r="I7" i="5"/>
  <c r="S7" i="5"/>
  <c r="S8" i="5" s="1"/>
  <c r="S28" i="5" s="1"/>
  <c r="E20" i="5"/>
  <c r="C20" i="5" s="1"/>
  <c r="J47" i="5"/>
  <c r="N9" i="5"/>
  <c r="N47" i="5"/>
  <c r="E36" i="5"/>
  <c r="C36" i="5" s="1"/>
  <c r="J9" i="5"/>
  <c r="Y20" i="1"/>
  <c r="W21" i="1"/>
  <c r="W36" i="1" s="1"/>
  <c r="Y16" i="1"/>
  <c r="Z16" i="1" s="1"/>
  <c r="AB16" i="1" s="1"/>
  <c r="S16" i="1"/>
  <c r="D16" i="1" s="1"/>
  <c r="Z11" i="1"/>
  <c r="U36" i="1"/>
  <c r="Z24" i="1"/>
  <c r="Y28" i="1"/>
  <c r="Y35" i="1" s="1"/>
  <c r="I36" i="1" l="1"/>
  <c r="P7" i="5"/>
  <c r="K7" i="5"/>
  <c r="K8" i="5" s="1"/>
  <c r="K24" i="5" s="1"/>
  <c r="Q28" i="1"/>
  <c r="Q35" i="1" s="1"/>
  <c r="S28" i="1"/>
  <c r="E28" i="5"/>
  <c r="S47" i="5"/>
  <c r="E34" i="5"/>
  <c r="C34" i="5" s="1"/>
  <c r="G47" i="5"/>
  <c r="G9" i="5"/>
  <c r="Z20" i="1"/>
  <c r="AB20" i="1" s="1"/>
  <c r="Y21" i="1"/>
  <c r="Y36" i="1" s="1"/>
  <c r="AB11" i="1"/>
  <c r="AB24" i="1"/>
  <c r="Z28" i="1"/>
  <c r="C28" i="5" l="1"/>
  <c r="S9" i="5"/>
  <c r="E24" i="5"/>
  <c r="C24" i="5" s="1"/>
  <c r="K47" i="5"/>
  <c r="K9" i="5"/>
  <c r="Z21" i="1"/>
  <c r="AB21" i="1" s="1"/>
  <c r="AB28" i="1"/>
  <c r="Z35" i="1"/>
  <c r="Q8" i="5"/>
  <c r="Q27" i="5" s="1"/>
  <c r="E27" i="5" l="1"/>
  <c r="C27" i="5" s="1"/>
  <c r="Q47" i="5"/>
  <c r="Z36" i="1"/>
  <c r="Q9" i="5"/>
  <c r="O1" i="5" l="1"/>
  <c r="H1" i="5"/>
  <c r="E45" i="5"/>
  <c r="I8" i="5" l="1"/>
  <c r="I21" i="5" s="1"/>
  <c r="S13" i="1"/>
  <c r="D13" i="1" s="1"/>
  <c r="M36" i="1" l="1"/>
  <c r="S11" i="1"/>
  <c r="D11" i="1" s="1"/>
  <c r="E21" i="5"/>
  <c r="C21" i="5" s="1"/>
  <c r="I47" i="5"/>
  <c r="H7" i="5"/>
  <c r="H8" i="5" s="1"/>
  <c r="G36" i="1"/>
  <c r="E15" i="5" l="1"/>
  <c r="C15" i="5" s="1"/>
  <c r="Q21" i="1"/>
  <c r="Q36" i="1" s="1"/>
  <c r="H35" i="5"/>
  <c r="E35" i="5" s="1"/>
  <c r="D28" i="1"/>
  <c r="P8" i="5"/>
  <c r="P26" i="5" s="1"/>
  <c r="I9" i="5"/>
  <c r="F7" i="5" l="1"/>
  <c r="F8" i="5" s="1"/>
  <c r="F47" i="5" s="1"/>
  <c r="C35" i="5"/>
  <c r="C37" i="5" s="1"/>
  <c r="E37" i="5"/>
  <c r="E26" i="5"/>
  <c r="C26" i="5" s="1"/>
  <c r="P47" i="5"/>
  <c r="H9" i="5"/>
  <c r="L36" i="1"/>
  <c r="P9" i="5"/>
  <c r="H47" i="5"/>
  <c r="F9" i="5" l="1"/>
  <c r="F20" i="4" l="1"/>
  <c r="F23" i="4" s="1"/>
  <c r="G18" i="4"/>
  <c r="S33" i="1" l="1"/>
  <c r="D33" i="1" s="1"/>
  <c r="F24" i="4" l="1"/>
  <c r="V7" i="5"/>
  <c r="V8" i="5" s="1"/>
  <c r="S32" i="1"/>
  <c r="D32" i="1" s="1"/>
  <c r="N34" i="1"/>
  <c r="N35" i="1" s="1"/>
  <c r="N36" i="1" s="1"/>
  <c r="V11" i="5" l="1"/>
  <c r="E11" i="5" s="1"/>
  <c r="V47" i="5"/>
  <c r="V9" i="5"/>
  <c r="S34" i="1"/>
  <c r="S35" i="1" s="1"/>
  <c r="E18" i="5" l="1"/>
  <c r="C11" i="5"/>
  <c r="C18" i="5" s="1"/>
  <c r="U7" i="5"/>
  <c r="D34" i="1"/>
  <c r="U8" i="5" l="1"/>
  <c r="U43" i="5" s="1"/>
  <c r="E43" i="5" s="1"/>
  <c r="C43" i="5" s="1"/>
  <c r="E19" i="4" s="1"/>
  <c r="D35" i="1"/>
  <c r="D24" i="38" l="1"/>
  <c r="D25" i="38" s="1"/>
  <c r="E20" i="4"/>
  <c r="E23" i="4" s="1"/>
  <c r="E24" i="4" s="1"/>
  <c r="G19" i="4"/>
  <c r="G20" i="4" s="1"/>
  <c r="G23" i="4" s="1"/>
  <c r="G24" i="4" s="1"/>
  <c r="U47" i="5"/>
  <c r="U9" i="5"/>
  <c r="P21" i="1"/>
  <c r="P36" i="1" s="1"/>
  <c r="S20" i="1"/>
  <c r="D20" i="1" s="1"/>
  <c r="S21" i="1" l="1"/>
  <c r="D21" i="1"/>
  <c r="D36" i="1" s="1"/>
  <c r="O7" i="5" l="1"/>
  <c r="W7" i="5" s="1"/>
  <c r="W8" i="5" s="1"/>
  <c r="O8" i="5" l="1"/>
  <c r="O23" i="5" s="1"/>
  <c r="O9" i="5" s="1"/>
  <c r="W47" i="5"/>
  <c r="W9" i="5"/>
  <c r="E23" i="5" l="1"/>
  <c r="O47" i="5"/>
  <c r="D47" i="5"/>
  <c r="C23" i="5" l="1"/>
  <c r="E29" i="5"/>
  <c r="E31" i="5" s="1"/>
  <c r="E42" i="5" s="1"/>
  <c r="E46" i="5" s="1"/>
  <c r="E47" i="5" s="1"/>
  <c r="C29" i="5" l="1"/>
  <c r="C31" i="5" s="1"/>
  <c r="C42" i="5" s="1"/>
  <c r="C46" i="5" s="1"/>
  <c r="C47" i="5" l="1"/>
  <c r="L47" i="5" l="1"/>
  <c r="L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Tezis</t>
        </r>
      </text>
    </comment>
  </commentList>
</comments>
</file>

<file path=xl/sharedStrings.xml><?xml version="1.0" encoding="utf-8"?>
<sst xmlns="http://schemas.openxmlformats.org/spreadsheetml/2006/main" count="174" uniqueCount="120">
  <si>
    <t>Прим.</t>
  </si>
  <si>
    <t>31 декабря 2024</t>
  </si>
  <si>
    <t>Активы</t>
  </si>
  <si>
    <t>Денежные средства и их эквиваленты</t>
  </si>
  <si>
    <t>Прочие активы</t>
  </si>
  <si>
    <t xml:space="preserve">Итого активов </t>
  </si>
  <si>
    <t>Обязательства</t>
  </si>
  <si>
    <t>Прочие обязательства</t>
  </si>
  <si>
    <t xml:space="preserve">Итого обязательств </t>
  </si>
  <si>
    <t>Капитал</t>
  </si>
  <si>
    <t>Нераспределенная прибыль</t>
  </si>
  <si>
    <t>Итого капитал</t>
  </si>
  <si>
    <t>Всего обязательства и капитал</t>
  </si>
  <si>
    <t>AJE 1</t>
  </si>
  <si>
    <t>Отчет о совокупном доходе</t>
  </si>
  <si>
    <t>отчетность</t>
  </si>
  <si>
    <t>Прибыль до налогообложения</t>
  </si>
  <si>
    <t>Прибыль за период</t>
  </si>
  <si>
    <t>Финансовые активы, оцениваемые по справедливой стоимости через прибыль или убыток</t>
  </si>
  <si>
    <t>Чистая прибыль по операциям с иностранной валютой</t>
  </si>
  <si>
    <t>Прочий совокупный доход</t>
  </si>
  <si>
    <t>Операции с собственниками</t>
  </si>
  <si>
    <t>Акционерный капитал капитал</t>
  </si>
  <si>
    <t>Взносы в акционерный капитал</t>
  </si>
  <si>
    <t>аудит</t>
  </si>
  <si>
    <t>KZT</t>
  </si>
  <si>
    <t>USD</t>
  </si>
  <si>
    <t>Дебиторская задолженность</t>
  </si>
  <si>
    <t>Основные средства</t>
  </si>
  <si>
    <t>Нематериальные активы</t>
  </si>
  <si>
    <t>Кредиторская задолженность по брокерской деятельности</t>
  </si>
  <si>
    <t>Комиссионный доход к получению</t>
  </si>
  <si>
    <t>Задолженность перед поставщиками</t>
  </si>
  <si>
    <t>31.12.2023
1C</t>
  </si>
  <si>
    <t>31.12.2024
1C</t>
  </si>
  <si>
    <t>Активы под управлением</t>
  </si>
  <si>
    <t>Уставный капитал</t>
  </si>
  <si>
    <t>Резерв переоценки курсовых разниц</t>
  </si>
  <si>
    <t>31 декабря 2023</t>
  </si>
  <si>
    <t>Выпущенная отчетность</t>
  </si>
  <si>
    <t>Комиссионный расход</t>
  </si>
  <si>
    <t>Комиссионный доход</t>
  </si>
  <si>
    <t>Чистый комиссионный доход</t>
  </si>
  <si>
    <t>Финансовые расходы</t>
  </si>
  <si>
    <t>Операционные расходы</t>
  </si>
  <si>
    <t>Прочие доходы/(расходы)</t>
  </si>
  <si>
    <t>Расходы по подоходному налогу</t>
  </si>
  <si>
    <t>Итого совокупный доход за год</t>
  </si>
  <si>
    <t>Счета и депозиты в банках</t>
  </si>
  <si>
    <t>Финансовые доходы</t>
  </si>
  <si>
    <t>AJE 2</t>
  </si>
  <si>
    <t>Резерв курсовых разниц</t>
  </si>
  <si>
    <t>Нераспределенная прибыль/(накопленный убыток)</t>
  </si>
  <si>
    <t>Итого собственного капитала</t>
  </si>
  <si>
    <t>Переводы в акционерный капитал</t>
  </si>
  <si>
    <t>на 1 января 2024 года</t>
  </si>
  <si>
    <t>Общий совокупный доход за год</t>
  </si>
  <si>
    <t>Выплата дивидендов</t>
  </si>
  <si>
    <t>Актив в форме права пользования</t>
  </si>
  <si>
    <t>Обязательства по аренде</t>
  </si>
  <si>
    <t>Амортизация актива в форме права пользования</t>
  </si>
  <si>
    <t>AJE 3</t>
  </si>
  <si>
    <t>AJE 4</t>
  </si>
  <si>
    <t>AJE 5</t>
  </si>
  <si>
    <t>Корректировки на:</t>
  </si>
  <si>
    <t>Амортизация основных средств</t>
  </si>
  <si>
    <t>Курсовая разница</t>
  </si>
  <si>
    <t>Резервы от обесценения дебиторской задолженности</t>
  </si>
  <si>
    <t>Изменения в оборотном капитале</t>
  </si>
  <si>
    <t xml:space="preserve">Изменение в дебиторской задолженности </t>
  </si>
  <si>
    <t>Изменение в комиссионном доходе к получению</t>
  </si>
  <si>
    <t>Изменение в прочих активах</t>
  </si>
  <si>
    <t>Изменение в обязательстве по аренде</t>
  </si>
  <si>
    <t>Изменение в кредиторской задолженности по брокерской деятельности</t>
  </si>
  <si>
    <t>Изменение в кредиторской задолженности</t>
  </si>
  <si>
    <t>Изменение в прочих обязательствах</t>
  </si>
  <si>
    <t>Чистые денежные потоки от операционной деятельности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</si>
  <si>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</si>
  <si>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</si>
  <si>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Чистые денежные средства от инвестиционной деятельности</t>
  </si>
  <si>
    <t xml:space="preserve">Чистое увеличение денежных средств и их эквивалентов </t>
  </si>
  <si>
    <t>Влияние изменения обменных курсов на денежные средства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</si>
  <si>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</si>
  <si>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</si>
  <si>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 xml:space="preserve">Движение денежных средств от финансовой деятельности </t>
  </si>
  <si>
    <t xml:space="preserve">Резерв курсовых разниц </t>
  </si>
  <si>
    <t xml:space="preserve">Чистые денежные средства от финансовой деятельности </t>
  </si>
  <si>
    <t xml:space="preserve">Денежные потоки от операционной деятельности до изменений в операционных активах и обязательствах </t>
  </si>
  <si>
    <t>Приобретение инвестиционных ценных бумаг</t>
  </si>
  <si>
    <t>Размещение денежных средств на депозите</t>
  </si>
  <si>
    <t>Изменение в активах под управлением</t>
  </si>
  <si>
    <t>Оплата арендных платежей</t>
  </si>
  <si>
    <t>КПН</t>
  </si>
  <si>
    <t>consulting</t>
  </si>
  <si>
    <t>Выплаченный корпоративный налог</t>
  </si>
  <si>
    <t>Денежные потоки до оплаты корпоративного подоходного налога</t>
  </si>
  <si>
    <t>АПП/ аренда</t>
  </si>
  <si>
    <t>31 марта 2025</t>
  </si>
  <si>
    <t>3 м 2025</t>
  </si>
  <si>
    <t>3 м 2024</t>
  </si>
  <si>
    <t>1кв2025</t>
  </si>
  <si>
    <t>На 31 марта 2024 года</t>
  </si>
  <si>
    <t>на 1 января 2025 года</t>
  </si>
  <si>
    <t>Чистый доход/(убыток) за период</t>
  </si>
  <si>
    <t>На 31 марта 2025 года</t>
  </si>
  <si>
    <t>Частная компания «Qanat Invest Limited»</t>
  </si>
  <si>
    <t xml:space="preserve">Отчет о финансовом положении </t>
  </si>
  <si>
    <t>по состоянию на 31 марта 2025 года</t>
  </si>
  <si>
    <t>все суммы представлены в тысячах долларов США</t>
  </si>
  <si>
    <t xml:space="preserve">Кунаев А.Т. </t>
  </si>
  <si>
    <t xml:space="preserve">Генеральный директор </t>
  </si>
  <si>
    <t xml:space="preserve">Ли И. А. </t>
  </si>
  <si>
    <t>Финансовый директор</t>
  </si>
  <si>
    <t>Отчет о прибыли или убытке и прочем совокупном доходе</t>
  </si>
  <si>
    <t>за 1 квартал, закончившийся 31 марта 2025 года</t>
  </si>
  <si>
    <t>Отчет о движении денежных средств</t>
  </si>
  <si>
    <t xml:space="preserve">Отчет об изменениях в капитале </t>
  </si>
  <si>
    <t xml:space="preserve">Исполнитель - Ли И.А. </t>
  </si>
  <si>
    <t>Моб.:+77027020626</t>
  </si>
  <si>
    <t xml:space="preserve">e-mail: igor.li@qanatinvest.com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</si>
</sst>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_);\(#,##0\);\-_);@_)"/>
    <numFmt numFmtId="166" formatCode="_-* #,##0\ _₽_-;\-* #,##0\ _₽_-;_-* &quot;-&quot;??\ _₽_-;_-@_-"/>
    <numFmt numFmtId="167" formatCode="_-* #,##0.00\ _₸_-;\-* #,##0.00\ _₸_-;_-* &quot;-&quot;??\ _₸_-;_-@_-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rebuchet MS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9.5"/>
      <color rgb="FF0D0D0D"/>
      <name val="Times New Roman"/>
      <family val="1"/>
      <charset val="204"/>
    </font>
    <font>
      <b/>
      <sz val="9.5"/>
      <color rgb="FF0D0D0D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2" fillId="0" borderId="0"/>
    <xf numFmtId="0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5" fillId="0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6" fillId="0" borderId="0"/>
    <xf numFmtId="0" fontId="30" fillId="0" borderId="0"/>
    <xf numFmtId="0" fontId="1" fillId="0" borderId="0"/>
    <xf numFmtId="167" fontId="1" fillId="0" borderId="0" applyFont="0" applyFill="0" applyBorder="0" applyAlignment="0" applyProtection="0"/>
    <xf numFmtId="0" fontId="35" fillId="0" borderId="0"/>
  </cellStyleXfs>
  <cellXfs count="11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14" fontId="7" fillId="2" borderId="4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Border="1"/>
    <xf numFmtId="165" fontId="8" fillId="0" borderId="0" xfId="0" applyNumberFormat="1" applyFont="1"/>
    <xf numFmtId="165" fontId="8" fillId="0" borderId="6" xfId="0" applyNumberFormat="1" applyFont="1" applyBorder="1"/>
    <xf numFmtId="165" fontId="7" fillId="0" borderId="8" xfId="0" applyNumberFormat="1" applyFont="1" applyBorder="1"/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5" xfId="0" applyNumberFormat="1" applyFont="1" applyBorder="1"/>
    <xf numFmtId="165" fontId="7" fillId="0" borderId="0" xfId="0" applyNumberFormat="1" applyFont="1"/>
    <xf numFmtId="165" fontId="7" fillId="0" borderId="6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9" fillId="2" borderId="0" xfId="0" applyNumberFormat="1" applyFont="1" applyFill="1"/>
    <xf numFmtId="165" fontId="10" fillId="2" borderId="0" xfId="0" applyNumberFormat="1" applyFont="1" applyFill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3" applyFont="1" applyAlignment="1">
      <alignment vertical="top"/>
    </xf>
    <xf numFmtId="0" fontId="5" fillId="3" borderId="0" xfId="0" applyFont="1" applyFill="1" applyAlignment="1">
      <alignment horizontal="righ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7" fillId="3" borderId="0" xfId="3" applyFont="1" applyFill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5" fontId="15" fillId="4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7" fillId="0" borderId="10" xfId="0" applyNumberFormat="1" applyFont="1" applyBorder="1"/>
    <xf numFmtId="165" fontId="7" fillId="0" borderId="11" xfId="0" applyNumberFormat="1" applyFont="1" applyBorder="1"/>
    <xf numFmtId="0" fontId="1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3" fontId="15" fillId="0" borderId="15" xfId="0" applyNumberFormat="1" applyFont="1" applyBorder="1" applyAlignment="1">
      <alignment horizontal="right" vertical="center"/>
    </xf>
    <xf numFmtId="165" fontId="14" fillId="4" borderId="0" xfId="0" applyNumberFormat="1" applyFont="1" applyFill="1" applyAlignment="1">
      <alignment vertical="center" wrapText="1"/>
    </xf>
    <xf numFmtId="165" fontId="15" fillId="4" borderId="0" xfId="0" applyNumberFormat="1" applyFont="1" applyFill="1" applyAlignment="1">
      <alignment vertical="center" wrapText="1"/>
    </xf>
    <xf numFmtId="165" fontId="14" fillId="4" borderId="7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14" fillId="4" borderId="16" xfId="0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Alignment="1">
      <alignment horizontal="right" vertical="center" wrapText="1"/>
    </xf>
    <xf numFmtId="165" fontId="10" fillId="5" borderId="0" xfId="0" applyNumberFormat="1" applyFont="1" applyFill="1"/>
    <xf numFmtId="0" fontId="10" fillId="0" borderId="0" xfId="0" applyFont="1"/>
    <xf numFmtId="165" fontId="18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9" fillId="0" borderId="0" xfId="0" applyNumberFormat="1" applyFont="1"/>
    <xf numFmtId="165" fontId="3" fillId="0" borderId="0" xfId="0" applyNumberFormat="1" applyFont="1" applyAlignment="1">
      <alignment wrapText="1"/>
    </xf>
    <xf numFmtId="165" fontId="3" fillId="0" borderId="0" xfId="0" applyNumberFormat="1" applyFont="1"/>
    <xf numFmtId="165" fontId="19" fillId="2" borderId="0" xfId="0" applyNumberFormat="1" applyFont="1" applyFill="1"/>
    <xf numFmtId="165" fontId="20" fillId="0" borderId="1" xfId="0" applyNumberFormat="1" applyFont="1" applyBorder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/>
    <xf numFmtId="165" fontId="2" fillId="0" borderId="0" xfId="0" applyNumberFormat="1" applyFont="1" applyAlignment="1">
      <alignment wrapText="1"/>
    </xf>
    <xf numFmtId="165" fontId="2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165" fontId="2" fillId="0" borderId="0" xfId="0" applyNumberFormat="1" applyFont="1"/>
    <xf numFmtId="165" fontId="2" fillId="2" borderId="7" xfId="0" applyNumberFormat="1" applyFont="1" applyFill="1" applyBorder="1" applyAlignment="1">
      <alignment wrapText="1"/>
    </xf>
    <xf numFmtId="165" fontId="2" fillId="2" borderId="7" xfId="0" applyNumberFormat="1" applyFont="1" applyFill="1" applyBorder="1"/>
    <xf numFmtId="165" fontId="2" fillId="2" borderId="0" xfId="0" applyNumberFormat="1" applyFont="1" applyFill="1"/>
    <xf numFmtId="165" fontId="9" fillId="2" borderId="0" xfId="0" applyNumberFormat="1" applyFont="1" applyFill="1" applyAlignment="1">
      <alignment wrapText="1"/>
    </xf>
    <xf numFmtId="165" fontId="9" fillId="3" borderId="7" xfId="0" applyNumberFormat="1" applyFont="1" applyFill="1" applyBorder="1"/>
    <xf numFmtId="165" fontId="21" fillId="0" borderId="0" xfId="0" applyNumberFormat="1" applyFont="1"/>
    <xf numFmtId="0" fontId="5" fillId="0" borderId="0" xfId="0" applyFont="1"/>
    <xf numFmtId="165" fontId="14" fillId="4" borderId="0" xfId="0" applyNumberFormat="1" applyFont="1" applyFill="1" applyAlignment="1">
      <alignment horizontal="right" vertical="center" wrapText="1"/>
    </xf>
    <xf numFmtId="165" fontId="14" fillId="4" borderId="7" xfId="0" applyNumberFormat="1" applyFont="1" applyFill="1" applyBorder="1" applyAlignment="1">
      <alignment horizontal="right" vertical="center" wrapText="1"/>
    </xf>
    <xf numFmtId="166" fontId="4" fillId="0" borderId="0" xfId="1" applyNumberFormat="1" applyFont="1"/>
    <xf numFmtId="165" fontId="10" fillId="0" borderId="0" xfId="0" applyNumberFormat="1" applyFont="1"/>
    <xf numFmtId="14" fontId="7" fillId="2" borderId="3" xfId="2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/>
    <xf numFmtId="0" fontId="5" fillId="0" borderId="0" xfId="0" applyFont="1" applyAlignment="1">
      <alignment horizontal="center"/>
    </xf>
    <xf numFmtId="164" fontId="7" fillId="0" borderId="0" xfId="1" applyFont="1" applyFill="1" applyBorder="1" applyAlignment="1">
      <alignment vertical="center"/>
    </xf>
    <xf numFmtId="14" fontId="5" fillId="0" borderId="0" xfId="0" applyNumberFormat="1" applyFont="1" applyAlignment="1">
      <alignment vertical="center"/>
    </xf>
    <xf numFmtId="166" fontId="4" fillId="0" borderId="0" xfId="1" applyNumberFormat="1" applyFont="1" applyBorder="1" applyAlignment="1">
      <alignment vertical="center" wrapText="1"/>
    </xf>
    <xf numFmtId="0" fontId="5" fillId="0" borderId="0" xfId="0" applyFont="1" applyAlignment="1">
      <alignment horizontal="right"/>
    </xf>
    <xf numFmtId="165" fontId="7" fillId="0" borderId="7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164" fontId="7" fillId="3" borderId="0" xfId="1" applyFont="1" applyFill="1" applyBorder="1" applyAlignment="1">
      <alignment wrapText="1"/>
    </xf>
    <xf numFmtId="166" fontId="10" fillId="0" borderId="0" xfId="1" applyNumberFormat="1" applyFont="1"/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4" fontId="7" fillId="2" borderId="7" xfId="2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wrapText="1"/>
    </xf>
    <xf numFmtId="165" fontId="3" fillId="0" borderId="1" xfId="0" applyNumberFormat="1" applyFont="1" applyBorder="1"/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/>
    <xf numFmtId="0" fontId="36" fillId="0" borderId="0" xfId="0" applyFont="1" applyAlignment="1">
      <alignment horizontal="left"/>
    </xf>
    <xf numFmtId="165" fontId="10" fillId="0" borderId="0" xfId="0" applyNumberFormat="1" applyFont="1" applyFill="1"/>
    <xf numFmtId="165" fontId="37" fillId="2" borderId="0" xfId="0" applyNumberFormat="1" applyFont="1" applyFill="1"/>
    <xf numFmtId="0" fontId="38" fillId="2" borderId="1" xfId="0" applyFont="1" applyFill="1" applyBorder="1" applyAlignment="1">
      <alignment horizontal="center" vertical="center"/>
    </xf>
  </cellXfs>
  <cellStyles count="21">
    <cellStyle name="Гиперссылка 2" xfId="7" xr:uid="{00000000-0005-0000-0000-000000000000}"/>
    <cellStyle name="Обычный" xfId="0" builtinId="0"/>
    <cellStyle name="Обычный 2" xfId="8" xr:uid="{00000000-0005-0000-0000-000002000000}"/>
    <cellStyle name="Обычный 2 2" xfId="9" xr:uid="{00000000-0005-0000-0000-000003000000}"/>
    <cellStyle name="Обычный 3" xfId="10" xr:uid="{00000000-0005-0000-0000-000004000000}"/>
    <cellStyle name="Обычный 3 2" xfId="11" xr:uid="{00000000-0005-0000-0000-000005000000}"/>
    <cellStyle name="Обычный 3 3" xfId="18" xr:uid="{00000000-0005-0000-0000-000006000000}"/>
    <cellStyle name="Обычный 4" xfId="5" xr:uid="{00000000-0005-0000-0000-000007000000}"/>
    <cellStyle name="Обычный 4 2" xfId="12" xr:uid="{00000000-0005-0000-0000-000008000000}"/>
    <cellStyle name="Обычный 5" xfId="13" xr:uid="{00000000-0005-0000-0000-000009000000}"/>
    <cellStyle name="Обычный 5 2" xfId="20" xr:uid="{00000000-0005-0000-0000-00000A000000}"/>
    <cellStyle name="Обычный 6" xfId="6" xr:uid="{00000000-0005-0000-0000-00000B000000}"/>
    <cellStyle name="Обычный 7" xfId="16" xr:uid="{00000000-0005-0000-0000-00000C000000}"/>
    <cellStyle name="Обычный 8" xfId="17" xr:uid="{00000000-0005-0000-0000-00000D000000}"/>
    <cellStyle name="Обычный_Лист1" xfId="2" xr:uid="{00000000-0005-0000-0000-000017000000}"/>
    <cellStyle name="Обычный_Ф.2" xfId="4" xr:uid="{00000000-0005-0000-0000-00001A000000}"/>
    <cellStyle name="Обычный_Ф2" xfId="3" xr:uid="{00000000-0005-0000-0000-00001B000000}"/>
    <cellStyle name="Тысячи [0]_1995-нові" xfId="14" xr:uid="{00000000-0005-0000-0000-00001C000000}"/>
    <cellStyle name="Тысячи_1995-нові" xfId="15" xr:uid="{00000000-0005-0000-0000-00001D000000}"/>
    <cellStyle name="Финансовый" xfId="1" builtinId="3"/>
    <cellStyle name="Финансовый 2" xfId="19" xr:uid="{00000000-0005-0000-0000-00001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G36"/>
  <sheetViews>
    <sheetView showGridLines="0" topLeftCell="A2" workbookViewId="0">
      <selection activeCell="D32" sqref="D32"/>
    </sheetView>
  </sheetViews>
  <sheetFormatPr defaultRowHeight="14.5" x14ac:dyDescent="0.35"/>
  <cols>
    <col min="2" max="2" width="30.81640625" customWidth="1"/>
    <col min="3" max="3" width="5.90625" bestFit="1" customWidth="1"/>
    <col min="4" max="5" width="16.08984375" customWidth="1"/>
  </cols>
  <sheetData>
    <row r="1" spans="2:7" x14ac:dyDescent="0.35">
      <c r="B1" s="110" t="s">
        <v>105</v>
      </c>
    </row>
    <row r="2" spans="2:7" x14ac:dyDescent="0.35">
      <c r="B2" s="110" t="s">
        <v>113</v>
      </c>
    </row>
    <row r="3" spans="2:7" x14ac:dyDescent="0.35">
      <c r="B3" s="110" t="s">
        <v>114</v>
      </c>
    </row>
    <row r="4" spans="2:7" x14ac:dyDescent="0.35">
      <c r="B4" s="113" t="s">
        <v>108</v>
      </c>
    </row>
    <row r="5" spans="2:7" x14ac:dyDescent="0.35">
      <c r="B5" s="2"/>
    </row>
    <row r="6" spans="2:7" x14ac:dyDescent="0.35">
      <c r="B6" s="2"/>
    </row>
    <row r="7" spans="2:7" x14ac:dyDescent="0.35">
      <c r="B7" s="22" t="s">
        <v>14</v>
      </c>
      <c r="C7" s="22"/>
      <c r="D7" s="98"/>
      <c r="E7" s="98"/>
      <c r="F7" s="21"/>
    </row>
    <row r="8" spans="2:7" x14ac:dyDescent="0.35">
      <c r="B8" s="2"/>
      <c r="C8" s="1"/>
      <c r="D8" s="23" t="s">
        <v>98</v>
      </c>
      <c r="E8" s="23" t="s">
        <v>99</v>
      </c>
      <c r="F8" s="1"/>
    </row>
    <row r="9" spans="2:7" x14ac:dyDescent="0.35">
      <c r="B9" s="24"/>
      <c r="C9" s="25" t="s">
        <v>0</v>
      </c>
      <c r="D9" s="26" t="s">
        <v>15</v>
      </c>
      <c r="E9" s="26" t="s">
        <v>15</v>
      </c>
      <c r="F9" s="1"/>
    </row>
    <row r="10" spans="2:7" x14ac:dyDescent="0.35">
      <c r="B10" s="28" t="s">
        <v>41</v>
      </c>
      <c r="C10" s="27"/>
      <c r="D10" s="33">
        <v>1422</v>
      </c>
      <c r="E10" s="33">
        <v>2579</v>
      </c>
      <c r="F10" s="18"/>
    </row>
    <row r="11" spans="2:7" x14ac:dyDescent="0.35">
      <c r="B11" s="28" t="s">
        <v>40</v>
      </c>
      <c r="C11" s="27"/>
      <c r="D11" s="33">
        <v>-1023</v>
      </c>
      <c r="E11" s="33">
        <v>-460</v>
      </c>
      <c r="F11" s="18"/>
    </row>
    <row r="12" spans="2:7" x14ac:dyDescent="0.35">
      <c r="B12" s="24" t="s">
        <v>42</v>
      </c>
      <c r="C12" s="27"/>
      <c r="D12" s="84">
        <f>SUM(D10:D11)</f>
        <v>399</v>
      </c>
      <c r="E12" s="84">
        <f>SUM(E10:E11)</f>
        <v>2119</v>
      </c>
      <c r="F12" s="2"/>
    </row>
    <row r="13" spans="2:7" x14ac:dyDescent="0.35">
      <c r="B13" s="28"/>
      <c r="C13" s="27"/>
      <c r="D13" s="33"/>
      <c r="E13" s="33"/>
      <c r="F13" s="18"/>
    </row>
    <row r="14" spans="2:7" x14ac:dyDescent="0.35">
      <c r="B14" s="28" t="s">
        <v>49</v>
      </c>
      <c r="C14" s="27"/>
      <c r="D14" s="33">
        <v>109</v>
      </c>
      <c r="E14" s="33">
        <v>34</v>
      </c>
      <c r="F14" s="18"/>
    </row>
    <row r="15" spans="2:7" x14ac:dyDescent="0.35">
      <c r="B15" s="28" t="s">
        <v>43</v>
      </c>
      <c r="C15" s="27"/>
      <c r="D15" s="33"/>
      <c r="E15" s="33"/>
      <c r="F15" s="18"/>
    </row>
    <row r="16" spans="2:7" ht="26" x14ac:dyDescent="0.35">
      <c r="B16" s="28" t="s">
        <v>19</v>
      </c>
      <c r="C16" s="27"/>
      <c r="D16" s="33">
        <v>20</v>
      </c>
      <c r="E16" s="33">
        <v>-26</v>
      </c>
      <c r="F16" s="18"/>
      <c r="G16" s="32"/>
    </row>
    <row r="17" spans="2:6" x14ac:dyDescent="0.35">
      <c r="B17" s="28" t="s">
        <v>44</v>
      </c>
      <c r="C17" s="27"/>
      <c r="D17" s="33">
        <v>-628</v>
      </c>
      <c r="E17" s="33">
        <v>-445</v>
      </c>
      <c r="F17" s="18"/>
    </row>
    <row r="18" spans="2:6" x14ac:dyDescent="0.35">
      <c r="B18" s="28" t="s">
        <v>45</v>
      </c>
      <c r="C18" s="27"/>
      <c r="D18" s="33">
        <v>62</v>
      </c>
      <c r="E18" s="33">
        <v>44</v>
      </c>
      <c r="F18" s="18"/>
    </row>
    <row r="19" spans="2:6" x14ac:dyDescent="0.35">
      <c r="B19" s="24" t="s">
        <v>16</v>
      </c>
      <c r="C19" s="25"/>
      <c r="D19" s="56">
        <f>SUM(D12:D18)</f>
        <v>-38</v>
      </c>
      <c r="E19" s="56">
        <f>SUM(E12:E18)</f>
        <v>1726</v>
      </c>
      <c r="F19" s="18"/>
    </row>
    <row r="20" spans="2:6" x14ac:dyDescent="0.35">
      <c r="B20" s="24"/>
      <c r="C20" s="25"/>
      <c r="D20" s="55"/>
      <c r="E20" s="55"/>
      <c r="F20" s="18"/>
    </row>
    <row r="21" spans="2:6" x14ac:dyDescent="0.35">
      <c r="B21" s="28" t="s">
        <v>46</v>
      </c>
      <c r="C21" s="27"/>
      <c r="D21" s="33"/>
      <c r="E21" s="33"/>
      <c r="F21" s="57"/>
    </row>
    <row r="22" spans="2:6" x14ac:dyDescent="0.35">
      <c r="B22" s="24" t="s">
        <v>17</v>
      </c>
      <c r="C22" s="25"/>
      <c r="D22" s="56">
        <f>SUM(D19:D21)</f>
        <v>-38</v>
      </c>
      <c r="E22" s="56">
        <f>SUM(E19:E21)</f>
        <v>1726</v>
      </c>
      <c r="F22" s="18"/>
    </row>
    <row r="23" spans="2:6" x14ac:dyDescent="0.35">
      <c r="B23" s="24"/>
      <c r="C23" s="25"/>
      <c r="D23" s="54"/>
      <c r="E23" s="54"/>
      <c r="F23" s="18"/>
    </row>
    <row r="24" spans="2:6" x14ac:dyDescent="0.35">
      <c r="B24" s="28" t="s">
        <v>20</v>
      </c>
      <c r="C24" s="25"/>
      <c r="D24" s="33">
        <f>Капитал!E19</f>
        <v>13</v>
      </c>
      <c r="E24" s="33">
        <f>Капитал!E9</f>
        <v>136</v>
      </c>
      <c r="F24" s="18"/>
    </row>
    <row r="25" spans="2:6" x14ac:dyDescent="0.35">
      <c r="B25" s="29" t="s">
        <v>47</v>
      </c>
      <c r="C25" s="30"/>
      <c r="D25" s="56">
        <f>SUM(D22:D24)</f>
        <v>-25</v>
      </c>
      <c r="E25" s="56">
        <f>SUM(E22:E24)</f>
        <v>1862</v>
      </c>
      <c r="F25" s="18"/>
    </row>
    <row r="26" spans="2:6" x14ac:dyDescent="0.35">
      <c r="B26" s="31"/>
      <c r="C26" s="1"/>
      <c r="D26" s="114"/>
      <c r="E26" s="114"/>
      <c r="F26" s="1"/>
    </row>
    <row r="27" spans="2:6" x14ac:dyDescent="0.35">
      <c r="B27" s="31"/>
      <c r="C27" s="1"/>
      <c r="D27" s="114"/>
      <c r="E27" s="114"/>
      <c r="F27" s="1"/>
    </row>
    <row r="28" spans="2:6" x14ac:dyDescent="0.35">
      <c r="B28" s="31"/>
      <c r="C28" s="1"/>
      <c r="D28" s="114"/>
      <c r="E28" s="114"/>
      <c r="F28" s="1"/>
    </row>
    <row r="30" spans="2:6" x14ac:dyDescent="0.35">
      <c r="B30" s="82" t="s">
        <v>109</v>
      </c>
      <c r="D30" s="82" t="s">
        <v>111</v>
      </c>
    </row>
    <row r="31" spans="2:6" x14ac:dyDescent="0.35">
      <c r="B31" s="82" t="s">
        <v>110</v>
      </c>
      <c r="D31" s="82" t="s">
        <v>112</v>
      </c>
    </row>
    <row r="32" spans="2:6" x14ac:dyDescent="0.35">
      <c r="B32" s="1"/>
      <c r="D32" s="1"/>
    </row>
    <row r="34" spans="2:2" x14ac:dyDescent="0.35">
      <c r="B34" s="112" t="s">
        <v>117</v>
      </c>
    </row>
    <row r="35" spans="2:2" x14ac:dyDescent="0.35">
      <c r="B35" s="112" t="s">
        <v>118</v>
      </c>
    </row>
    <row r="36" spans="2:2" x14ac:dyDescent="0.35">
      <c r="B36" s="112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D45"/>
  <sheetViews>
    <sheetView showGridLines="0" topLeftCell="A24" zoomScaleNormal="70" workbookViewId="0">
      <selection activeCell="B43" sqref="B43:B45"/>
    </sheetView>
  </sheetViews>
  <sheetFormatPr defaultColWidth="8.90625" defaultRowHeight="13" outlineLevelCol="1" x14ac:dyDescent="0.3"/>
  <cols>
    <col min="1" max="1" width="17.453125" style="1" bestFit="1" customWidth="1"/>
    <col min="2" max="2" width="46.08984375" style="1" customWidth="1"/>
    <col min="3" max="3" width="13.1796875" style="1" bestFit="1" customWidth="1"/>
    <col min="4" max="5" width="14.6328125" style="1" customWidth="1"/>
    <col min="6" max="6" width="4.1796875" style="1" customWidth="1"/>
    <col min="7" max="7" width="19.1796875" style="1" hidden="1" customWidth="1" outlineLevel="1"/>
    <col min="8" max="8" width="11.54296875" style="1" hidden="1" customWidth="1" outlineLevel="1"/>
    <col min="9" max="10" width="10.453125" style="1" hidden="1" customWidth="1" outlineLevel="1"/>
    <col min="11" max="11" width="15.90625" style="1" hidden="1" customWidth="1" outlineLevel="1"/>
    <col min="12" max="12" width="14.453125" style="1" hidden="1" customWidth="1" outlineLevel="1"/>
    <col min="13" max="13" width="14.453125" style="1" hidden="1" customWidth="1" collapsed="1"/>
    <col min="14" max="19" width="14.453125" style="1" hidden="1" customWidth="1"/>
    <col min="20" max="20" width="8.90625" style="1"/>
    <col min="21" max="21" width="14.08984375" style="1" hidden="1" customWidth="1"/>
    <col min="22" max="23" width="11.81640625" style="1" hidden="1" customWidth="1"/>
    <col min="24" max="24" width="0" style="1" hidden="1" customWidth="1"/>
    <col min="25" max="25" width="13.1796875" style="1" hidden="1" customWidth="1"/>
    <col min="26" max="26" width="15.08984375" style="1" hidden="1" customWidth="1"/>
    <col min="27" max="27" width="15.1796875" style="1" hidden="1" customWidth="1"/>
    <col min="28" max="28" width="0" style="1" hidden="1" customWidth="1"/>
    <col min="29" max="16384" width="8.90625" style="1"/>
  </cols>
  <sheetData>
    <row r="1" spans="1:28 16384:16384" ht="14" x14ac:dyDescent="0.3">
      <c r="A1" s="110" t="s">
        <v>105</v>
      </c>
    </row>
    <row r="2" spans="1:28 16384:16384" ht="14" x14ac:dyDescent="0.3">
      <c r="A2" s="110" t="s">
        <v>106</v>
      </c>
    </row>
    <row r="3" spans="1:28 16384:16384" ht="14" x14ac:dyDescent="0.3">
      <c r="A3" s="110" t="s">
        <v>107</v>
      </c>
    </row>
    <row r="4" spans="1:28 16384:16384" x14ac:dyDescent="0.3">
      <c r="A4" s="111" t="s">
        <v>108</v>
      </c>
    </row>
    <row r="5" spans="1:28 16384:16384" hidden="1" x14ac:dyDescent="0.3"/>
    <row r="6" spans="1:28 16384:16384" ht="13.5" hidden="1" thickBot="1" x14ac:dyDescent="0.35"/>
    <row r="7" spans="1:28 16384:16384" s="2" customFormat="1" ht="26" hidden="1" x14ac:dyDescent="0.3">
      <c r="D7" s="91"/>
      <c r="E7" s="91"/>
      <c r="M7" s="88">
        <v>523.54</v>
      </c>
      <c r="N7" s="88"/>
      <c r="O7" s="88"/>
      <c r="P7" s="88"/>
      <c r="Q7" s="88"/>
      <c r="R7" s="88"/>
      <c r="S7" s="88"/>
      <c r="Z7" s="90">
        <v>454.56</v>
      </c>
      <c r="AA7" s="40" t="s">
        <v>39</v>
      </c>
      <c r="XFD7" s="109">
        <f>SUM(M7:XFC7)</f>
        <v>978.09999999999991</v>
      </c>
    </row>
    <row r="8" spans="1:28 16384:16384" ht="13.5" thickBot="1" x14ac:dyDescent="0.35">
      <c r="B8" s="34"/>
      <c r="D8" s="88"/>
      <c r="E8" s="88"/>
      <c r="L8" s="89" t="s">
        <v>25</v>
      </c>
      <c r="M8" s="89" t="s">
        <v>26</v>
      </c>
      <c r="N8" s="89"/>
      <c r="O8" s="89"/>
      <c r="P8" s="89"/>
      <c r="Q8" s="89"/>
      <c r="R8" s="89"/>
      <c r="S8" s="89"/>
      <c r="Y8" s="89" t="s">
        <v>25</v>
      </c>
      <c r="Z8" s="89" t="s">
        <v>26</v>
      </c>
      <c r="AA8" s="89" t="s">
        <v>26</v>
      </c>
    </row>
    <row r="9" spans="1:28 16384:16384" s="18" customFormat="1" ht="26" x14ac:dyDescent="0.35">
      <c r="B9" s="35"/>
      <c r="C9" s="36" t="s">
        <v>0</v>
      </c>
      <c r="D9" s="37" t="s">
        <v>97</v>
      </c>
      <c r="E9" s="37" t="s">
        <v>1</v>
      </c>
      <c r="F9" s="36"/>
      <c r="G9" s="19" t="s">
        <v>34</v>
      </c>
      <c r="H9" s="87" t="s">
        <v>13</v>
      </c>
      <c r="I9" s="87" t="s">
        <v>50</v>
      </c>
      <c r="J9" s="87" t="s">
        <v>61</v>
      </c>
      <c r="K9" s="87" t="s">
        <v>62</v>
      </c>
      <c r="L9" s="3" t="s">
        <v>1</v>
      </c>
      <c r="M9" s="37" t="s">
        <v>97</v>
      </c>
      <c r="N9" s="105" t="s">
        <v>63</v>
      </c>
      <c r="O9" s="105" t="s">
        <v>92</v>
      </c>
      <c r="P9" s="105" t="s">
        <v>93</v>
      </c>
      <c r="Q9" s="105" t="s">
        <v>96</v>
      </c>
      <c r="R9" s="105" t="s">
        <v>96</v>
      </c>
      <c r="S9" s="37" t="s">
        <v>97</v>
      </c>
      <c r="U9" s="19" t="s">
        <v>33</v>
      </c>
      <c r="V9" s="87" t="s">
        <v>13</v>
      </c>
      <c r="W9" s="87" t="s">
        <v>50</v>
      </c>
      <c r="X9" s="87" t="s">
        <v>61</v>
      </c>
      <c r="Y9" s="3" t="s">
        <v>38</v>
      </c>
      <c r="Z9" s="3" t="s">
        <v>38</v>
      </c>
      <c r="AA9" s="3" t="s">
        <v>38</v>
      </c>
    </row>
    <row r="10" spans="1:28 16384:16384" x14ac:dyDescent="0.3">
      <c r="B10" s="35" t="s">
        <v>2</v>
      </c>
      <c r="C10" s="38"/>
      <c r="D10" s="5"/>
      <c r="E10" s="5"/>
      <c r="F10" s="38"/>
      <c r="G10" s="4"/>
      <c r="H10" s="5"/>
      <c r="I10" s="5"/>
      <c r="J10" s="5"/>
      <c r="K10" s="5"/>
      <c r="L10" s="6"/>
      <c r="M10" s="5"/>
      <c r="N10" s="5"/>
      <c r="O10" s="5"/>
      <c r="P10" s="5"/>
      <c r="Q10" s="5"/>
      <c r="R10" s="5"/>
      <c r="S10" s="6"/>
      <c r="U10" s="4"/>
      <c r="V10" s="5"/>
      <c r="W10" s="5"/>
      <c r="X10" s="5"/>
      <c r="Y10" s="6"/>
      <c r="Z10" s="6"/>
      <c r="AA10" s="6"/>
    </row>
    <row r="11" spans="1:28 16384:16384" x14ac:dyDescent="0.3">
      <c r="B11" s="28" t="s">
        <v>3</v>
      </c>
      <c r="C11" s="38"/>
      <c r="D11" s="5">
        <f>ROUND(S11,0)</f>
        <v>408</v>
      </c>
      <c r="E11" s="5">
        <v>875</v>
      </c>
      <c r="F11" s="38"/>
      <c r="G11" s="4"/>
      <c r="H11" s="5"/>
      <c r="I11" s="5"/>
      <c r="J11" s="5"/>
      <c r="K11" s="5"/>
      <c r="L11" s="6"/>
      <c r="M11" s="5">
        <v>408</v>
      </c>
      <c r="N11" s="5"/>
      <c r="O11" s="5"/>
      <c r="P11" s="5"/>
      <c r="Q11" s="5"/>
      <c r="R11" s="5"/>
      <c r="S11" s="6">
        <f>SUM(M11:R11)</f>
        <v>408</v>
      </c>
      <c r="U11" s="4" t="e">
        <f>SUMIFS(#REF!,#REF!,Баланс!B11)</f>
        <v>#REF!</v>
      </c>
      <c r="V11" s="5"/>
      <c r="W11" s="5"/>
      <c r="X11" s="5"/>
      <c r="Y11" s="6" t="e">
        <f>SUM(U11:X11)</f>
        <v>#REF!</v>
      </c>
      <c r="Z11" s="6" t="e">
        <f>ROUND(Y11/$Z$7/1000,0)</f>
        <v>#REF!</v>
      </c>
      <c r="AA11" s="6">
        <v>1965</v>
      </c>
      <c r="AB11" s="86" t="e">
        <f>AA11-Z11</f>
        <v>#REF!</v>
      </c>
    </row>
    <row r="12" spans="1:28 16384:16384" x14ac:dyDescent="0.3">
      <c r="B12" s="28" t="s">
        <v>48</v>
      </c>
      <c r="C12" s="38"/>
      <c r="D12" s="5">
        <f t="shared" ref="D12:D19" si="0">ROUND(S12,0)</f>
        <v>2108</v>
      </c>
      <c r="E12" s="5">
        <v>624</v>
      </c>
      <c r="F12" s="38"/>
      <c r="G12" s="4"/>
      <c r="H12" s="5"/>
      <c r="I12" s="5"/>
      <c r="J12" s="5"/>
      <c r="K12" s="5"/>
      <c r="L12" s="6"/>
      <c r="M12" s="5">
        <v>2108</v>
      </c>
      <c r="N12" s="5"/>
      <c r="O12" s="5"/>
      <c r="P12" s="5"/>
      <c r="Q12" s="5"/>
      <c r="R12" s="5"/>
      <c r="S12" s="6">
        <f t="shared" ref="S12:S20" si="1">SUM(M12:R12)</f>
        <v>2108</v>
      </c>
      <c r="U12" s="4" t="e">
        <f>SUMIFS(#REF!,#REF!,Баланс!B12)</f>
        <v>#REF!</v>
      </c>
      <c r="V12" s="5"/>
      <c r="W12" s="5"/>
      <c r="X12" s="5"/>
      <c r="Y12" s="6" t="e">
        <f t="shared" ref="Y12:Y20" si="2">SUM(U12:X12)</f>
        <v>#REF!</v>
      </c>
      <c r="Z12" s="6" t="e">
        <f>ROUND(Y12/$Z$7/1000,0)</f>
        <v>#REF!</v>
      </c>
      <c r="AA12" s="6">
        <v>0</v>
      </c>
      <c r="AB12" s="86" t="e">
        <f t="shared" ref="AB12:AB33" si="3">AA12-Z12</f>
        <v>#REF!</v>
      </c>
    </row>
    <row r="13" spans="1:28 16384:16384" ht="26" x14ac:dyDescent="0.3">
      <c r="B13" s="28" t="s">
        <v>18</v>
      </c>
      <c r="C13" s="38"/>
      <c r="D13" s="5">
        <f t="shared" si="0"/>
        <v>432</v>
      </c>
      <c r="E13" s="5">
        <v>149</v>
      </c>
      <c r="F13" s="38"/>
      <c r="G13" s="4"/>
      <c r="H13" s="5"/>
      <c r="I13" s="5"/>
      <c r="J13" s="5"/>
      <c r="K13" s="5"/>
      <c r="L13" s="6"/>
      <c r="M13" s="5">
        <v>432</v>
      </c>
      <c r="N13" s="5"/>
      <c r="O13" s="5"/>
      <c r="P13" s="5"/>
      <c r="Q13" s="5"/>
      <c r="R13" s="5"/>
      <c r="S13" s="6">
        <f t="shared" si="1"/>
        <v>432</v>
      </c>
      <c r="U13" s="4" t="e">
        <f>SUMIFS(#REF!,#REF!,Баланс!B13)</f>
        <v>#REF!</v>
      </c>
      <c r="V13" s="5"/>
      <c r="W13" s="5"/>
      <c r="X13" s="5"/>
      <c r="Y13" s="6" t="e">
        <f t="shared" si="2"/>
        <v>#REF!</v>
      </c>
      <c r="Z13" s="6" t="e">
        <f>ROUND(Y13/$Z$7/1000,0)</f>
        <v>#REF!</v>
      </c>
      <c r="AA13" s="6">
        <v>0</v>
      </c>
      <c r="AB13" s="86" t="e">
        <f t="shared" si="3"/>
        <v>#REF!</v>
      </c>
    </row>
    <row r="14" spans="1:28 16384:16384" x14ac:dyDescent="0.3">
      <c r="B14" s="28" t="s">
        <v>31</v>
      </c>
      <c r="C14" s="38"/>
      <c r="D14" s="5">
        <f t="shared" si="0"/>
        <v>2533</v>
      </c>
      <c r="E14" s="5">
        <v>3745</v>
      </c>
      <c r="F14" s="38"/>
      <c r="G14" s="4"/>
      <c r="H14" s="5"/>
      <c r="I14" s="5"/>
      <c r="J14" s="5"/>
      <c r="K14" s="5"/>
      <c r="L14" s="6"/>
      <c r="M14" s="5">
        <f>2479+54</f>
        <v>2533</v>
      </c>
      <c r="N14" s="5"/>
      <c r="O14" s="5"/>
      <c r="P14" s="5"/>
      <c r="Q14" s="5"/>
      <c r="R14" s="5"/>
      <c r="S14" s="6">
        <f t="shared" si="1"/>
        <v>2533</v>
      </c>
      <c r="U14" s="4" t="e">
        <f>SUMIFS(#REF!,#REF!,Баланс!B14)</f>
        <v>#REF!</v>
      </c>
      <c r="V14" s="5">
        <v>-30781253.149999999</v>
      </c>
      <c r="W14" s="5"/>
      <c r="X14" s="5"/>
      <c r="Y14" s="6" t="e">
        <f t="shared" si="2"/>
        <v>#REF!</v>
      </c>
      <c r="Z14" s="6" t="e">
        <f>ROUND(Y14/$Z$7/1000,0)</f>
        <v>#REF!</v>
      </c>
      <c r="AA14" s="6">
        <v>965</v>
      </c>
      <c r="AB14" s="86" t="e">
        <f t="shared" si="3"/>
        <v>#REF!</v>
      </c>
    </row>
    <row r="15" spans="1:28 16384:16384" x14ac:dyDescent="0.3">
      <c r="B15" s="28" t="s">
        <v>27</v>
      </c>
      <c r="C15" s="38"/>
      <c r="D15" s="5">
        <f t="shared" si="0"/>
        <v>0</v>
      </c>
      <c r="E15" s="5">
        <v>68</v>
      </c>
      <c r="F15" s="38"/>
      <c r="G15" s="4"/>
      <c r="H15" s="5"/>
      <c r="I15" s="5"/>
      <c r="J15" s="5"/>
      <c r="K15" s="5"/>
      <c r="L15" s="6"/>
      <c r="M15" s="5"/>
      <c r="N15" s="5"/>
      <c r="O15" s="5"/>
      <c r="P15" s="5"/>
      <c r="Q15" s="5"/>
      <c r="R15" s="5"/>
      <c r="S15" s="6">
        <f t="shared" si="1"/>
        <v>0</v>
      </c>
      <c r="U15" s="4" t="e">
        <f>SUMIFS(#REF!,#REF!,Баланс!B15)</f>
        <v>#REF!</v>
      </c>
      <c r="V15" s="5">
        <f>-V14</f>
        <v>30781253.149999999</v>
      </c>
      <c r="W15" s="5"/>
      <c r="X15" s="5"/>
      <c r="Y15" s="6" t="e">
        <f t="shared" si="2"/>
        <v>#REF!</v>
      </c>
      <c r="Z15" s="6" t="e">
        <f>ROUND(Y15/$Z$7/1000,0)</f>
        <v>#REF!</v>
      </c>
      <c r="AA15" s="6">
        <v>69</v>
      </c>
      <c r="AB15" s="86" t="e">
        <f t="shared" si="3"/>
        <v>#REF!</v>
      </c>
    </row>
    <row r="16" spans="1:28 16384:16384" x14ac:dyDescent="0.3">
      <c r="B16" s="28" t="s">
        <v>35</v>
      </c>
      <c r="C16" s="38"/>
      <c r="D16" s="5">
        <f t="shared" si="0"/>
        <v>1</v>
      </c>
      <c r="E16" s="5">
        <v>1</v>
      </c>
      <c r="F16" s="38"/>
      <c r="G16" s="4"/>
      <c r="H16" s="5"/>
      <c r="I16" s="5"/>
      <c r="J16" s="5"/>
      <c r="K16" s="5"/>
      <c r="L16" s="6"/>
      <c r="M16" s="5">
        <v>1</v>
      </c>
      <c r="N16" s="5"/>
      <c r="O16" s="5"/>
      <c r="P16" s="5"/>
      <c r="Q16" s="5"/>
      <c r="R16" s="5"/>
      <c r="S16" s="6">
        <f t="shared" si="1"/>
        <v>1</v>
      </c>
      <c r="U16" s="4" t="e">
        <f>SUMIFS(#REF!,#REF!,Баланс!B16)</f>
        <v>#REF!</v>
      </c>
      <c r="V16" s="5"/>
      <c r="W16" s="5"/>
      <c r="X16" s="5"/>
      <c r="Y16" s="6" t="e">
        <f t="shared" si="2"/>
        <v>#REF!</v>
      </c>
      <c r="Z16" s="6" t="e">
        <f>ROUND(Y16/$Z$7/1000,0)</f>
        <v>#REF!</v>
      </c>
      <c r="AA16" s="6">
        <v>0</v>
      </c>
      <c r="AB16" s="86" t="e">
        <f t="shared" si="3"/>
        <v>#REF!</v>
      </c>
    </row>
    <row r="17" spans="2:28" x14ac:dyDescent="0.3">
      <c r="B17" s="28" t="s">
        <v>58</v>
      </c>
      <c r="C17" s="38"/>
      <c r="D17" s="5">
        <f t="shared" si="0"/>
        <v>0</v>
      </c>
      <c r="E17" s="5">
        <v>99</v>
      </c>
      <c r="F17" s="38"/>
      <c r="G17" s="4"/>
      <c r="H17" s="5"/>
      <c r="I17" s="5"/>
      <c r="J17" s="5"/>
      <c r="K17" s="5"/>
      <c r="L17" s="6"/>
      <c r="M17" s="5"/>
      <c r="N17" s="5"/>
      <c r="O17" s="5"/>
      <c r="P17" s="5"/>
      <c r="Q17" s="5"/>
      <c r="R17" s="5"/>
      <c r="S17" s="6">
        <f t="shared" si="1"/>
        <v>0</v>
      </c>
      <c r="U17" s="4"/>
      <c r="V17" s="5"/>
      <c r="W17" s="5"/>
      <c r="X17" s="5"/>
      <c r="Y17" s="6"/>
      <c r="Z17" s="6"/>
      <c r="AA17" s="6"/>
      <c r="AB17" s="86"/>
    </row>
    <row r="18" spans="2:28" x14ac:dyDescent="0.3">
      <c r="B18" s="28" t="s">
        <v>28</v>
      </c>
      <c r="C18" s="38"/>
      <c r="D18" s="5">
        <f>ROUND(S18,0)</f>
        <v>19</v>
      </c>
      <c r="E18" s="5">
        <v>15</v>
      </c>
      <c r="F18" s="38"/>
      <c r="G18" s="4"/>
      <c r="H18" s="5"/>
      <c r="I18" s="5"/>
      <c r="J18" s="5"/>
      <c r="K18" s="5"/>
      <c r="L18" s="6"/>
      <c r="M18" s="5">
        <v>19</v>
      </c>
      <c r="N18" s="5"/>
      <c r="O18" s="5"/>
      <c r="P18" s="5"/>
      <c r="Q18" s="5"/>
      <c r="R18" s="5"/>
      <c r="S18" s="6">
        <f t="shared" si="1"/>
        <v>19</v>
      </c>
      <c r="U18" s="4" t="e">
        <f>SUMIFS(#REF!,#REF!,Баланс!B18)</f>
        <v>#REF!</v>
      </c>
      <c r="V18" s="5"/>
      <c r="W18" s="5"/>
      <c r="X18" s="5"/>
      <c r="Y18" s="6" t="e">
        <f t="shared" si="2"/>
        <v>#REF!</v>
      </c>
      <c r="Z18" s="6" t="e">
        <f>ROUND(Y18/$Z$7/1000,0)</f>
        <v>#REF!</v>
      </c>
      <c r="AA18" s="6">
        <v>10</v>
      </c>
      <c r="AB18" s="86" t="e">
        <f t="shared" si="3"/>
        <v>#REF!</v>
      </c>
    </row>
    <row r="19" spans="2:28" x14ac:dyDescent="0.3">
      <c r="B19" s="28" t="s">
        <v>29</v>
      </c>
      <c r="C19" s="38"/>
      <c r="D19" s="5">
        <f t="shared" si="0"/>
        <v>20</v>
      </c>
      <c r="E19" s="5">
        <v>20</v>
      </c>
      <c r="F19" s="38"/>
      <c r="G19" s="4"/>
      <c r="H19" s="5"/>
      <c r="I19" s="5"/>
      <c r="J19" s="5"/>
      <c r="K19" s="5"/>
      <c r="L19" s="6"/>
      <c r="M19" s="5">
        <v>20</v>
      </c>
      <c r="N19" s="5"/>
      <c r="O19" s="5"/>
      <c r="P19" s="5"/>
      <c r="Q19" s="5"/>
      <c r="R19" s="5"/>
      <c r="S19" s="6">
        <f t="shared" si="1"/>
        <v>20</v>
      </c>
      <c r="U19" s="4" t="e">
        <f>SUMIFS(#REF!,#REF!,Баланс!B19)</f>
        <v>#REF!</v>
      </c>
      <c r="V19" s="5"/>
      <c r="W19" s="5"/>
      <c r="X19" s="5"/>
      <c r="Y19" s="6" t="e">
        <f>SUM(U19:X19)</f>
        <v>#REF!</v>
      </c>
      <c r="Z19" s="6" t="e">
        <f>ROUND(Y19/$Z$7/1000,0)</f>
        <v>#REF!</v>
      </c>
      <c r="AA19" s="6">
        <v>1</v>
      </c>
      <c r="AB19" s="86" t="e">
        <f t="shared" si="3"/>
        <v>#REF!</v>
      </c>
    </row>
    <row r="20" spans="2:28" x14ac:dyDescent="0.3">
      <c r="B20" s="28" t="s">
        <v>4</v>
      </c>
      <c r="C20" s="38"/>
      <c r="D20" s="5">
        <f>ROUND(S20,0)</f>
        <v>294</v>
      </c>
      <c r="E20" s="5">
        <v>220</v>
      </c>
      <c r="F20" s="38"/>
      <c r="G20" s="4"/>
      <c r="H20" s="5"/>
      <c r="I20" s="5"/>
      <c r="J20" s="5"/>
      <c r="K20" s="5"/>
      <c r="L20" s="6"/>
      <c r="M20" s="5">
        <v>294</v>
      </c>
      <c r="N20" s="5"/>
      <c r="O20" s="5"/>
      <c r="P20" s="5"/>
      <c r="Q20" s="5"/>
      <c r="R20" s="5"/>
      <c r="S20" s="6">
        <f t="shared" si="1"/>
        <v>294</v>
      </c>
      <c r="U20" s="4" t="e">
        <f>SUMIFS(#REF!,#REF!,Баланс!B20)</f>
        <v>#REF!</v>
      </c>
      <c r="V20" s="5"/>
      <c r="W20" s="5"/>
      <c r="X20" s="5"/>
      <c r="Y20" s="6" t="e">
        <f t="shared" si="2"/>
        <v>#REF!</v>
      </c>
      <c r="Z20" s="6" t="e">
        <f>ROUND(Y20/$Z$7/1000,0)</f>
        <v>#REF!</v>
      </c>
      <c r="AA20" s="6">
        <v>149</v>
      </c>
      <c r="AB20" s="86" t="e">
        <f t="shared" si="3"/>
        <v>#REF!</v>
      </c>
    </row>
    <row r="21" spans="2:28" s="18" customFormat="1" x14ac:dyDescent="0.35">
      <c r="B21" s="35" t="s">
        <v>5</v>
      </c>
      <c r="C21" s="40"/>
      <c r="D21" s="94">
        <f>SUM(D11:D20)</f>
        <v>5815</v>
      </c>
      <c r="E21" s="94">
        <f>SUM(E11:E20)</f>
        <v>5816</v>
      </c>
      <c r="F21" s="40"/>
      <c r="G21" s="95"/>
      <c r="H21" s="94"/>
      <c r="I21" s="94"/>
      <c r="J21" s="94"/>
      <c r="K21" s="94"/>
      <c r="L21" s="96"/>
      <c r="M21" s="95">
        <f>SUM(M11:M20)</f>
        <v>5815</v>
      </c>
      <c r="N21" s="94">
        <f t="shared" ref="N21:S21" si="4">SUM(N11:N20)</f>
        <v>0</v>
      </c>
      <c r="O21" s="94">
        <f t="shared" si="4"/>
        <v>0</v>
      </c>
      <c r="P21" s="94">
        <f t="shared" si="4"/>
        <v>0</v>
      </c>
      <c r="Q21" s="94">
        <f t="shared" si="4"/>
        <v>0</v>
      </c>
      <c r="R21" s="94">
        <f t="shared" si="4"/>
        <v>0</v>
      </c>
      <c r="S21" s="96">
        <f t="shared" si="4"/>
        <v>5815</v>
      </c>
      <c r="U21" s="95" t="e">
        <f t="shared" ref="U21:AA21" si="5">SUM(U11:U20)</f>
        <v>#REF!</v>
      </c>
      <c r="V21" s="94">
        <f t="shared" si="5"/>
        <v>0</v>
      </c>
      <c r="W21" s="94">
        <f t="shared" si="5"/>
        <v>0</v>
      </c>
      <c r="X21" s="94">
        <f t="shared" si="5"/>
        <v>0</v>
      </c>
      <c r="Y21" s="96" t="e">
        <f t="shared" si="5"/>
        <v>#REF!</v>
      </c>
      <c r="Z21" s="96" t="e">
        <f t="shared" si="5"/>
        <v>#REF!</v>
      </c>
      <c r="AA21" s="96">
        <f t="shared" si="5"/>
        <v>3159</v>
      </c>
      <c r="AB21" s="97" t="e">
        <f t="shared" si="3"/>
        <v>#REF!</v>
      </c>
    </row>
    <row r="22" spans="2:28" x14ac:dyDescent="0.3">
      <c r="B22" s="35"/>
      <c r="C22" s="40"/>
      <c r="D22" s="11"/>
      <c r="E22" s="11"/>
      <c r="F22" s="40"/>
      <c r="G22" s="10"/>
      <c r="H22" s="11"/>
      <c r="I22" s="11"/>
      <c r="J22" s="11"/>
      <c r="K22" s="11"/>
      <c r="L22" s="12"/>
      <c r="M22" s="11"/>
      <c r="N22" s="11"/>
      <c r="O22" s="11"/>
      <c r="P22" s="11"/>
      <c r="Q22" s="11"/>
      <c r="R22" s="11"/>
      <c r="S22" s="12"/>
      <c r="U22" s="10"/>
      <c r="V22" s="11"/>
      <c r="W22" s="11"/>
      <c r="X22" s="11"/>
      <c r="Y22" s="12"/>
      <c r="Z22" s="12"/>
      <c r="AA22" s="12"/>
      <c r="AB22" s="86">
        <f t="shared" si="3"/>
        <v>0</v>
      </c>
    </row>
    <row r="23" spans="2:28" x14ac:dyDescent="0.3">
      <c r="B23" s="35" t="s">
        <v>6</v>
      </c>
      <c r="C23" s="40"/>
      <c r="D23" s="5"/>
      <c r="E23" s="5"/>
      <c r="F23" s="40"/>
      <c r="G23" s="4"/>
      <c r="H23" s="5"/>
      <c r="I23" s="5"/>
      <c r="J23" s="5"/>
      <c r="K23" s="5"/>
      <c r="L23" s="6"/>
      <c r="M23" s="5"/>
      <c r="N23" s="5"/>
      <c r="O23" s="5"/>
      <c r="P23" s="5"/>
      <c r="Q23" s="5"/>
      <c r="R23" s="5"/>
      <c r="S23" s="6"/>
      <c r="U23" s="4"/>
      <c r="V23" s="5"/>
      <c r="W23" s="5"/>
      <c r="X23" s="5"/>
      <c r="Y23" s="6"/>
      <c r="Z23" s="6"/>
      <c r="AA23" s="6"/>
      <c r="AB23" s="86">
        <f t="shared" si="3"/>
        <v>0</v>
      </c>
    </row>
    <row r="24" spans="2:28" ht="26" x14ac:dyDescent="0.3">
      <c r="B24" s="39" t="s">
        <v>30</v>
      </c>
      <c r="C24" s="38"/>
      <c r="D24" s="5">
        <f>-ROUND(S24,0)</f>
        <v>101</v>
      </c>
      <c r="E24" s="5">
        <v>75</v>
      </c>
      <c r="F24" s="38"/>
      <c r="G24" s="4"/>
      <c r="H24" s="5"/>
      <c r="I24" s="5"/>
      <c r="J24" s="5"/>
      <c r="K24" s="5"/>
      <c r="L24" s="6"/>
      <c r="M24" s="5">
        <v>-101</v>
      </c>
      <c r="N24" s="5"/>
      <c r="O24" s="5"/>
      <c r="P24" s="5"/>
      <c r="Q24" s="5"/>
      <c r="R24" s="5"/>
      <c r="S24" s="6">
        <f t="shared" ref="S24:S27" si="6">SUM(M24:R24)</f>
        <v>-101</v>
      </c>
      <c r="U24" s="4" t="e">
        <f>SUMIFS(#REF!,#REF!,Баланс!B24)</f>
        <v>#REF!</v>
      </c>
      <c r="V24" s="5"/>
      <c r="W24" s="5">
        <f>-W25</f>
        <v>-26084625.370000001</v>
      </c>
      <c r="X24" s="5"/>
      <c r="Y24" s="6" t="e">
        <f t="shared" ref="Y24:Y27" si="7">SUM(U24:X24)</f>
        <v>#REF!</v>
      </c>
      <c r="Z24" s="6" t="e">
        <f>ROUND(Y24/$Z$7/1000,0)</f>
        <v>#REF!</v>
      </c>
      <c r="AA24" s="6">
        <v>-57</v>
      </c>
      <c r="AB24" s="86" t="e">
        <f t="shared" si="3"/>
        <v>#REF!</v>
      </c>
    </row>
    <row r="25" spans="2:28" x14ac:dyDescent="0.3">
      <c r="B25" s="39" t="s">
        <v>32</v>
      </c>
      <c r="C25" s="38"/>
      <c r="D25" s="5">
        <f t="shared" ref="D25:D26" si="8">-ROUND(S25,0)</f>
        <v>18</v>
      </c>
      <c r="E25" s="5">
        <v>134</v>
      </c>
      <c r="F25" s="38"/>
      <c r="G25" s="4"/>
      <c r="H25" s="5"/>
      <c r="I25" s="5"/>
      <c r="J25" s="5"/>
      <c r="K25" s="5"/>
      <c r="L25" s="6"/>
      <c r="M25" s="5">
        <v>-18</v>
      </c>
      <c r="N25" s="5"/>
      <c r="O25" s="5"/>
      <c r="P25" s="5"/>
      <c r="Q25" s="5"/>
      <c r="R25" s="5"/>
      <c r="S25" s="6">
        <f t="shared" si="6"/>
        <v>-18</v>
      </c>
      <c r="U25" s="4" t="e">
        <f>SUMIFS(#REF!,#REF!,Баланс!B25)</f>
        <v>#REF!</v>
      </c>
      <c r="V25" s="5"/>
      <c r="W25" s="5">
        <v>26084625.370000001</v>
      </c>
      <c r="X25" s="5"/>
      <c r="Y25" s="6" t="e">
        <f t="shared" si="7"/>
        <v>#REF!</v>
      </c>
      <c r="Z25" s="6" t="e">
        <f>ROUND(Y25/$Z$7/1000,0)</f>
        <v>#REF!</v>
      </c>
      <c r="AA25" s="6">
        <v>-61</v>
      </c>
      <c r="AB25" s="86" t="e">
        <f t="shared" si="3"/>
        <v>#REF!</v>
      </c>
    </row>
    <row r="26" spans="2:28" x14ac:dyDescent="0.3">
      <c r="B26" s="39" t="s">
        <v>59</v>
      </c>
      <c r="C26" s="38"/>
      <c r="D26" s="5">
        <f t="shared" si="8"/>
        <v>0</v>
      </c>
      <c r="E26" s="5">
        <v>107</v>
      </c>
      <c r="F26" s="38"/>
      <c r="G26" s="4"/>
      <c r="H26" s="5"/>
      <c r="I26" s="5"/>
      <c r="J26" s="5"/>
      <c r="K26" s="5"/>
      <c r="L26" s="6"/>
      <c r="M26" s="5">
        <f>L26/$M$7/1000</f>
        <v>0</v>
      </c>
      <c r="N26" s="5"/>
      <c r="O26" s="5"/>
      <c r="P26" s="5"/>
      <c r="Q26" s="5"/>
      <c r="R26" s="5"/>
      <c r="S26" s="6">
        <f t="shared" si="6"/>
        <v>0</v>
      </c>
      <c r="U26" s="4"/>
      <c r="V26" s="5"/>
      <c r="W26" s="5"/>
      <c r="X26" s="5"/>
      <c r="Y26" s="6"/>
      <c r="Z26" s="6"/>
      <c r="AA26" s="6"/>
      <c r="AB26" s="86"/>
    </row>
    <row r="27" spans="2:28" x14ac:dyDescent="0.3">
      <c r="B27" s="39" t="s">
        <v>7</v>
      </c>
      <c r="C27" s="38"/>
      <c r="D27" s="5">
        <f>-ROUND(S27,0)</f>
        <v>469</v>
      </c>
      <c r="E27" s="5">
        <v>248</v>
      </c>
      <c r="F27" s="38"/>
      <c r="G27" s="4"/>
      <c r="H27" s="5"/>
      <c r="I27" s="5"/>
      <c r="J27" s="5"/>
      <c r="K27" s="5"/>
      <c r="L27" s="6"/>
      <c r="M27" s="5">
        <v>-469</v>
      </c>
      <c r="N27" s="5"/>
      <c r="O27" s="5"/>
      <c r="P27" s="5"/>
      <c r="Q27" s="5"/>
      <c r="R27" s="5"/>
      <c r="S27" s="6">
        <f t="shared" si="6"/>
        <v>-469</v>
      </c>
      <c r="U27" s="4" t="e">
        <f>SUMIFS(#REF!,#REF!,Баланс!B27)</f>
        <v>#REF!</v>
      </c>
      <c r="V27" s="5"/>
      <c r="W27" s="5"/>
      <c r="X27" s="5"/>
      <c r="Y27" s="6" t="e">
        <f t="shared" si="7"/>
        <v>#REF!</v>
      </c>
      <c r="Z27" s="6" t="e">
        <f>ROUND(Y27/$Z$7/1000,0)</f>
        <v>#REF!</v>
      </c>
      <c r="AA27" s="6">
        <v>-100</v>
      </c>
      <c r="AB27" s="86" t="e">
        <f t="shared" si="3"/>
        <v>#REF!</v>
      </c>
    </row>
    <row r="28" spans="2:28" x14ac:dyDescent="0.3">
      <c r="B28" s="35" t="s">
        <v>8</v>
      </c>
      <c r="C28" s="40"/>
      <c r="D28" s="8">
        <f>SUM(D24:D27)</f>
        <v>588</v>
      </c>
      <c r="E28" s="8">
        <f>SUM(E24:E27)</f>
        <v>564</v>
      </c>
      <c r="F28" s="40"/>
      <c r="G28" s="7"/>
      <c r="H28" s="8"/>
      <c r="I28" s="8"/>
      <c r="J28" s="8"/>
      <c r="K28" s="8"/>
      <c r="L28" s="9"/>
      <c r="M28" s="7">
        <f>SUM(M24:M27)</f>
        <v>-588</v>
      </c>
      <c r="N28" s="8">
        <f t="shared" ref="N28:P28" si="9">SUM(N24:N27)</f>
        <v>0</v>
      </c>
      <c r="O28" s="8">
        <f t="shared" si="9"/>
        <v>0</v>
      </c>
      <c r="P28" s="8">
        <f t="shared" si="9"/>
        <v>0</v>
      </c>
      <c r="Q28" s="8">
        <f t="shared" ref="Q28:S28" si="10">SUM(Q24:Q27)</f>
        <v>0</v>
      </c>
      <c r="R28" s="8">
        <f t="shared" si="10"/>
        <v>0</v>
      </c>
      <c r="S28" s="9">
        <f t="shared" si="10"/>
        <v>-588</v>
      </c>
      <c r="U28" s="7" t="e">
        <f>SUM(U23:U27)</f>
        <v>#REF!</v>
      </c>
      <c r="V28" s="8">
        <f t="shared" ref="V28" si="11">SUM(V24:V27)</f>
        <v>0</v>
      </c>
      <c r="W28" s="8">
        <f t="shared" ref="W28" si="12">SUM(W24:W27)</f>
        <v>0</v>
      </c>
      <c r="X28" s="8">
        <f t="shared" ref="X28" si="13">SUM(X24:X27)</f>
        <v>0</v>
      </c>
      <c r="Y28" s="9" t="e">
        <f>SUM(Y24:Y27)</f>
        <v>#REF!</v>
      </c>
      <c r="Z28" s="9" t="e">
        <f>SUM(Z24:Z27)</f>
        <v>#REF!</v>
      </c>
      <c r="AA28" s="9">
        <f>SUM(AA24:AA27)</f>
        <v>-218</v>
      </c>
      <c r="AB28" s="86" t="e">
        <f t="shared" si="3"/>
        <v>#REF!</v>
      </c>
    </row>
    <row r="29" spans="2:28" x14ac:dyDescent="0.3">
      <c r="B29" s="35"/>
      <c r="C29" s="40"/>
      <c r="D29" s="11"/>
      <c r="E29" s="11"/>
      <c r="F29" s="40"/>
      <c r="G29" s="10"/>
      <c r="H29" s="11"/>
      <c r="I29" s="11"/>
      <c r="J29" s="11"/>
      <c r="K29" s="11"/>
      <c r="L29" s="12"/>
      <c r="M29" s="11"/>
      <c r="N29" s="11"/>
      <c r="O29" s="11"/>
      <c r="P29" s="11"/>
      <c r="Q29" s="11"/>
      <c r="R29" s="11"/>
      <c r="S29" s="12"/>
      <c r="U29" s="10"/>
      <c r="V29" s="11"/>
      <c r="W29" s="11"/>
      <c r="X29" s="11"/>
      <c r="Y29" s="12"/>
      <c r="Z29" s="12"/>
      <c r="AA29" s="12"/>
      <c r="AB29" s="86">
        <f t="shared" si="3"/>
        <v>0</v>
      </c>
    </row>
    <row r="30" spans="2:28" x14ac:dyDescent="0.3">
      <c r="B30" s="35" t="s">
        <v>9</v>
      </c>
      <c r="C30" s="40"/>
      <c r="D30" s="5"/>
      <c r="E30" s="5"/>
      <c r="F30" s="40"/>
      <c r="G30" s="4"/>
      <c r="H30" s="5"/>
      <c r="I30" s="5"/>
      <c r="J30" s="5"/>
      <c r="K30" s="5"/>
      <c r="L30" s="6"/>
      <c r="M30" s="5"/>
      <c r="N30" s="5"/>
      <c r="O30" s="5"/>
      <c r="P30" s="5"/>
      <c r="Q30" s="5"/>
      <c r="R30" s="5"/>
      <c r="S30" s="6"/>
      <c r="U30" s="4"/>
      <c r="V30" s="5"/>
      <c r="W30" s="5"/>
      <c r="X30" s="5"/>
      <c r="Y30" s="6"/>
      <c r="Z30" s="6"/>
      <c r="AA30" s="6"/>
      <c r="AB30" s="86">
        <f t="shared" si="3"/>
        <v>0</v>
      </c>
    </row>
    <row r="31" spans="2:28" x14ac:dyDescent="0.3">
      <c r="B31" s="20" t="s">
        <v>36</v>
      </c>
      <c r="C31" s="38"/>
      <c r="D31" s="5">
        <f>-ROUND(S31,0)</f>
        <v>1223</v>
      </c>
      <c r="E31" s="5">
        <v>1223</v>
      </c>
      <c r="F31" s="38"/>
      <c r="G31" s="4"/>
      <c r="H31" s="5"/>
      <c r="I31" s="5"/>
      <c r="J31" s="5"/>
      <c r="K31" s="5"/>
      <c r="L31" s="6"/>
      <c r="M31" s="5">
        <f>Z31</f>
        <v>-1223</v>
      </c>
      <c r="N31" s="5"/>
      <c r="O31" s="5"/>
      <c r="P31" s="5"/>
      <c r="Q31" s="5"/>
      <c r="R31" s="5"/>
      <c r="S31" s="6">
        <f t="shared" ref="S31:S33" si="14">SUM(M31:R31)</f>
        <v>-1223</v>
      </c>
      <c r="U31" s="4" t="e">
        <f>SUMIFS(#REF!,#REF!,Баланс!B31)</f>
        <v>#REF!</v>
      </c>
      <c r="V31" s="5"/>
      <c r="W31" s="5"/>
      <c r="X31" s="5"/>
      <c r="Y31" s="6" t="e">
        <f t="shared" ref="Y31:Y33" si="15">SUM(U31:X31)</f>
        <v>#REF!</v>
      </c>
      <c r="Z31" s="6">
        <v>-1223</v>
      </c>
      <c r="AA31" s="6">
        <v>-1223</v>
      </c>
      <c r="AB31" s="86">
        <f t="shared" si="3"/>
        <v>0</v>
      </c>
    </row>
    <row r="32" spans="2:28" x14ac:dyDescent="0.3">
      <c r="B32" s="108" t="s">
        <v>37</v>
      </c>
      <c r="C32" s="100"/>
      <c r="D32" s="5">
        <f>-ROUND(S32,0)</f>
        <v>-641</v>
      </c>
      <c r="E32" s="5">
        <v>-654</v>
      </c>
      <c r="F32" s="38"/>
      <c r="G32" s="4"/>
      <c r="H32" s="5"/>
      <c r="I32" s="5"/>
      <c r="J32" s="5"/>
      <c r="K32" s="5"/>
      <c r="L32" s="6"/>
      <c r="M32" s="5">
        <v>641</v>
      </c>
      <c r="N32" s="5"/>
      <c r="O32" s="5"/>
      <c r="P32" s="5"/>
      <c r="Q32" s="5"/>
      <c r="R32" s="5"/>
      <c r="S32" s="6">
        <f t="shared" si="14"/>
        <v>641</v>
      </c>
      <c r="U32" s="4" t="e">
        <f>SUMIFS(#REF!,#REF!,Баланс!B32)</f>
        <v>#REF!</v>
      </c>
      <c r="V32" s="5"/>
      <c r="W32" s="5"/>
      <c r="X32" s="5"/>
      <c r="Y32" s="6" t="e">
        <f t="shared" si="15"/>
        <v>#REF!</v>
      </c>
      <c r="Z32" s="6" t="e">
        <f>ROUND(Y32/$Z$7/1000,0)</f>
        <v>#REF!</v>
      </c>
      <c r="AA32" s="6">
        <v>-47</v>
      </c>
      <c r="AB32" s="86" t="e">
        <f t="shared" si="3"/>
        <v>#REF!</v>
      </c>
    </row>
    <row r="33" spans="1:28" x14ac:dyDescent="0.3">
      <c r="B33" s="39" t="s">
        <v>10</v>
      </c>
      <c r="C33" s="38"/>
      <c r="D33" s="5">
        <f>-ROUND(S33,0)</f>
        <v>4645</v>
      </c>
      <c r="E33" s="5">
        <v>4683</v>
      </c>
      <c r="F33" s="38"/>
      <c r="G33" s="4"/>
      <c r="H33" s="5"/>
      <c r="I33" s="5"/>
      <c r="J33" s="5"/>
      <c r="K33" s="5"/>
      <c r="L33" s="6"/>
      <c r="M33" s="5">
        <v>-4645</v>
      </c>
      <c r="N33" s="5"/>
      <c r="O33" s="5"/>
      <c r="P33" s="5"/>
      <c r="Q33" s="5"/>
      <c r="R33" s="5">
        <f>-(R21+R28)</f>
        <v>0</v>
      </c>
      <c r="S33" s="6">
        <f t="shared" si="14"/>
        <v>-4645</v>
      </c>
      <c r="U33" s="4" t="e">
        <f>SUMIFS(#REF!,#REF!,Баланс!B33)</f>
        <v>#REF!</v>
      </c>
      <c r="V33" s="5"/>
      <c r="W33" s="5"/>
      <c r="X33" s="5"/>
      <c r="Y33" s="6" t="e">
        <f t="shared" si="15"/>
        <v>#REF!</v>
      </c>
      <c r="Z33" s="6" t="e">
        <f>ROUND(Y33/$Z$7/1000,0)</f>
        <v>#REF!</v>
      </c>
      <c r="AA33" s="6">
        <v>-1671</v>
      </c>
      <c r="AB33" s="86" t="e">
        <f t="shared" si="3"/>
        <v>#REF!</v>
      </c>
    </row>
    <row r="34" spans="1:28" x14ac:dyDescent="0.3">
      <c r="B34" s="35" t="s">
        <v>11</v>
      </c>
      <c r="C34" s="38"/>
      <c r="D34" s="41">
        <f>SUM(D31:D33)</f>
        <v>5227</v>
      </c>
      <c r="E34" s="41">
        <f>SUM(E31:E33)</f>
        <v>5252</v>
      </c>
      <c r="F34" s="38"/>
      <c r="G34" s="42"/>
      <c r="H34" s="41"/>
      <c r="I34" s="41"/>
      <c r="J34" s="41"/>
      <c r="K34" s="41"/>
      <c r="L34" s="9"/>
      <c r="M34" s="7">
        <f t="shared" ref="M34:N34" si="16">SUM(M31:M33)</f>
        <v>-5227</v>
      </c>
      <c r="N34" s="8">
        <f t="shared" si="16"/>
        <v>0</v>
      </c>
      <c r="O34" s="8">
        <f t="shared" ref="O34" si="17">SUM(O31:O33)</f>
        <v>0</v>
      </c>
      <c r="P34" s="8">
        <f t="shared" ref="P34" si="18">SUM(P31:P33)</f>
        <v>0</v>
      </c>
      <c r="Q34" s="8">
        <f t="shared" ref="Q34:S34" si="19">SUM(Q31:Q33)</f>
        <v>0</v>
      </c>
      <c r="R34" s="8">
        <f>SUM(R31:R33)</f>
        <v>0</v>
      </c>
      <c r="S34" s="9">
        <f t="shared" si="19"/>
        <v>-5227</v>
      </c>
      <c r="U34" s="42" t="e">
        <f>SUM(U31:U33)</f>
        <v>#REF!</v>
      </c>
      <c r="V34" s="41">
        <f t="shared" ref="V34" si="20">SUM(V31:V33)</f>
        <v>0</v>
      </c>
      <c r="W34" s="41">
        <f t="shared" ref="W34" si="21">SUM(W31:W33)</f>
        <v>0</v>
      </c>
      <c r="X34" s="41">
        <f t="shared" ref="X34" si="22">SUM(X31:X33)</f>
        <v>0</v>
      </c>
      <c r="Y34" s="9" t="e">
        <f>SUM(Y31:Y33)</f>
        <v>#REF!</v>
      </c>
      <c r="Z34" s="9" t="e">
        <f>SUM(Z31:Z33)</f>
        <v>#REF!</v>
      </c>
      <c r="AA34" s="9">
        <f>SUM(AA31:AA33)</f>
        <v>-2941</v>
      </c>
    </row>
    <row r="35" spans="1:28" ht="13.5" thickBot="1" x14ac:dyDescent="0.35">
      <c r="B35" s="35" t="s">
        <v>12</v>
      </c>
      <c r="C35" s="40"/>
      <c r="D35" s="8">
        <f>D34+D28</f>
        <v>5815</v>
      </c>
      <c r="E35" s="8">
        <f>E34+E28</f>
        <v>5816</v>
      </c>
      <c r="F35" s="40"/>
      <c r="G35" s="13"/>
      <c r="H35" s="14"/>
      <c r="I35" s="14"/>
      <c r="J35" s="14"/>
      <c r="K35" s="14"/>
      <c r="L35" s="15"/>
      <c r="M35" s="13">
        <f t="shared" ref="M35:N35" si="23">M34+M28</f>
        <v>-5815</v>
      </c>
      <c r="N35" s="14">
        <f t="shared" si="23"/>
        <v>0</v>
      </c>
      <c r="O35" s="14">
        <f t="shared" ref="O35" si="24">O34+O28</f>
        <v>0</v>
      </c>
      <c r="P35" s="14">
        <f t="shared" ref="P35" si="25">P34+P28</f>
        <v>0</v>
      </c>
      <c r="Q35" s="14">
        <f t="shared" ref="Q35:S35" si="26">Q34+Q28</f>
        <v>0</v>
      </c>
      <c r="R35" s="14">
        <f t="shared" ref="R35" si="27">R34+R28</f>
        <v>0</v>
      </c>
      <c r="S35" s="15">
        <f t="shared" si="26"/>
        <v>-5815</v>
      </c>
      <c r="U35" s="13" t="e">
        <f>U34+U28</f>
        <v>#REF!</v>
      </c>
      <c r="V35" s="14">
        <f t="shared" ref="V35" si="28">V34+V28</f>
        <v>0</v>
      </c>
      <c r="W35" s="14">
        <f t="shared" ref="W35" si="29">W34+W28</f>
        <v>0</v>
      </c>
      <c r="X35" s="14">
        <f t="shared" ref="X35" si="30">X34+X28</f>
        <v>0</v>
      </c>
      <c r="Y35" s="15" t="e">
        <f>Y34+Y28</f>
        <v>#REF!</v>
      </c>
      <c r="Z35" s="15" t="e">
        <f>Z34+Z28</f>
        <v>#REF!</v>
      </c>
      <c r="AA35" s="15">
        <f>AA34+AA28</f>
        <v>-3159</v>
      </c>
    </row>
    <row r="36" spans="1:28" x14ac:dyDescent="0.3">
      <c r="B36" s="2"/>
      <c r="D36" s="17">
        <f>D35-D21</f>
        <v>0</v>
      </c>
      <c r="E36" s="17">
        <f>E35-E21</f>
        <v>0</v>
      </c>
      <c r="G36" s="17">
        <f>G35+G21</f>
        <v>0</v>
      </c>
      <c r="H36" s="17">
        <f t="shared" ref="H36:I36" si="31">H35+H21</f>
        <v>0</v>
      </c>
      <c r="I36" s="17">
        <f t="shared" si="31"/>
        <v>0</v>
      </c>
      <c r="J36" s="17"/>
      <c r="K36" s="17">
        <f t="shared" ref="K36:Q36" si="32">K35+K21</f>
        <v>0</v>
      </c>
      <c r="L36" s="17">
        <f t="shared" si="32"/>
        <v>0</v>
      </c>
      <c r="M36" s="17">
        <f t="shared" si="32"/>
        <v>0</v>
      </c>
      <c r="N36" s="17">
        <f t="shared" ref="N36:P36" si="33">N35+N21</f>
        <v>0</v>
      </c>
      <c r="O36" s="17">
        <f t="shared" ref="O36" si="34">O35+O21</f>
        <v>0</v>
      </c>
      <c r="P36" s="17">
        <f t="shared" si="33"/>
        <v>0</v>
      </c>
      <c r="Q36" s="17">
        <f t="shared" si="32"/>
        <v>0</v>
      </c>
      <c r="R36" s="17">
        <f t="shared" ref="R36" si="35">R35+R21</f>
        <v>0</v>
      </c>
      <c r="S36" s="17"/>
      <c r="U36" s="17" t="e">
        <f>U35+U21</f>
        <v>#REF!</v>
      </c>
      <c r="V36" s="17">
        <f t="shared" ref="V36" si="36">V35+V21</f>
        <v>0</v>
      </c>
      <c r="W36" s="17">
        <f t="shared" ref="W36" si="37">W35+W21</f>
        <v>0</v>
      </c>
      <c r="X36" s="17">
        <f t="shared" ref="X36" si="38">X35+X21</f>
        <v>0</v>
      </c>
      <c r="Y36" s="17" t="e">
        <f>Y35+Y21</f>
        <v>#REF!</v>
      </c>
      <c r="Z36" s="17" t="e">
        <f>Z35+Z21</f>
        <v>#REF!</v>
      </c>
      <c r="AA36" s="17">
        <f>AA35+AA21</f>
        <v>0</v>
      </c>
    </row>
    <row r="37" spans="1:28" x14ac:dyDescent="0.3">
      <c r="B37" s="2"/>
    </row>
    <row r="39" spans="1:28" x14ac:dyDescent="0.3">
      <c r="B39" s="82" t="s">
        <v>109</v>
      </c>
      <c r="C39" s="82" t="s">
        <v>111</v>
      </c>
      <c r="D39" s="11"/>
    </row>
    <row r="40" spans="1:28" x14ac:dyDescent="0.3">
      <c r="B40" s="82" t="s">
        <v>110</v>
      </c>
      <c r="C40" s="82" t="s">
        <v>112</v>
      </c>
    </row>
    <row r="43" spans="1:28" s="82" customFormat="1" x14ac:dyDescent="0.3">
      <c r="B43" s="112" t="s">
        <v>117</v>
      </c>
      <c r="C43" s="93"/>
      <c r="D43" s="93"/>
    </row>
    <row r="44" spans="1:28" x14ac:dyDescent="0.3">
      <c r="A44" s="39"/>
      <c r="B44" s="112" t="s">
        <v>118</v>
      </c>
      <c r="C44" s="92"/>
      <c r="D44" s="92"/>
      <c r="E44" s="39"/>
    </row>
    <row r="45" spans="1:28" x14ac:dyDescent="0.3">
      <c r="A45" s="39"/>
      <c r="B45" s="112" t="s">
        <v>119</v>
      </c>
      <c r="C45" s="39"/>
      <c r="D45" s="39"/>
      <c r="E45" s="39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57"/>
  <sheetViews>
    <sheetView showGridLines="0" topLeftCell="A34" zoomScale="90" zoomScaleNormal="90" workbookViewId="0">
      <selection activeCell="C53" sqref="C53"/>
    </sheetView>
  </sheetViews>
  <sheetFormatPr defaultColWidth="8.90625" defaultRowHeight="14" outlineLevelCol="1" x14ac:dyDescent="0.3"/>
  <cols>
    <col min="1" max="1" width="6" style="65" customWidth="1"/>
    <col min="2" max="2" width="50.36328125" style="66" customWidth="1"/>
    <col min="3" max="4" width="13.08984375" style="66" customWidth="1"/>
    <col min="5" max="5" width="18" style="67" hidden="1" customWidth="1" outlineLevel="1"/>
    <col min="6" max="6" width="14.6328125" style="67" hidden="1" customWidth="1" outlineLevel="1"/>
    <col min="7" max="7" width="10.453125" style="67" hidden="1" customWidth="1" outlineLevel="1"/>
    <col min="8" max="8" width="18.08984375" style="67" hidden="1" customWidth="1" outlineLevel="1"/>
    <col min="9" max="9" width="9.453125" style="67" hidden="1" customWidth="1" outlineLevel="1"/>
    <col min="10" max="10" width="11.90625" style="67" hidden="1" customWidth="1" outlineLevel="1"/>
    <col min="11" max="12" width="9.36328125" style="67" hidden="1" customWidth="1" outlineLevel="1"/>
    <col min="13" max="13" width="8.90625" style="67" hidden="1" customWidth="1" outlineLevel="1"/>
    <col min="14" max="14" width="10.90625" style="67" hidden="1" customWidth="1" outlineLevel="1"/>
    <col min="15" max="15" width="11" style="67" hidden="1" customWidth="1" outlineLevel="1"/>
    <col min="16" max="22" width="13.1796875" style="67" hidden="1" customWidth="1" outlineLevel="1"/>
    <col min="23" max="23" width="15.36328125" style="67" hidden="1" customWidth="1" outlineLevel="1"/>
    <col min="24" max="24" width="8.90625" style="67" collapsed="1"/>
    <col min="25" max="16384" width="8.90625" style="67"/>
  </cols>
  <sheetData>
    <row r="1" spans="1:23" s="63" customFormat="1" ht="56.4" customHeight="1" x14ac:dyDescent="0.35">
      <c r="A1" s="62"/>
      <c r="B1" s="110" t="s">
        <v>105</v>
      </c>
      <c r="E1" s="64"/>
      <c r="F1" s="64" t="str">
        <f>Баланс!B11</f>
        <v>Денежные средства и их эквиваленты</v>
      </c>
      <c r="G1" s="64" t="str">
        <f>Баланс!B12</f>
        <v>Счета и депозиты в банках</v>
      </c>
      <c r="H1" s="64" t="str">
        <f>Баланс!B13</f>
        <v>Финансовые активы, оцениваемые по справедливой стоимости через прибыль или убыток</v>
      </c>
      <c r="I1" s="64" t="str">
        <f>Баланс!B14</f>
        <v>Комиссионный доход к получению</v>
      </c>
      <c r="J1" s="64" t="str">
        <f>Баланс!B15</f>
        <v>Дебиторская задолженность</v>
      </c>
      <c r="K1" s="64" t="str">
        <f>Баланс!B16</f>
        <v>Активы под управлением</v>
      </c>
      <c r="L1" s="64" t="str">
        <f>Баланс!B17</f>
        <v>Актив в форме права пользования</v>
      </c>
      <c r="M1" s="64" t="str">
        <f>Баланс!B18</f>
        <v>Основные средства</v>
      </c>
      <c r="N1" s="64" t="str">
        <f>Баланс!B19</f>
        <v>Нематериальные активы</v>
      </c>
      <c r="O1" s="64" t="str">
        <f>Баланс!B20</f>
        <v>Прочие активы</v>
      </c>
      <c r="P1" s="64" t="str">
        <f>Баланс!B24</f>
        <v>Кредиторская задолженность по брокерской деятельности</v>
      </c>
      <c r="Q1" s="64" t="str">
        <f>Баланс!B25</f>
        <v>Задолженность перед поставщиками</v>
      </c>
      <c r="R1" s="64" t="str">
        <f>Баланс!B26</f>
        <v>Обязательства по аренде</v>
      </c>
      <c r="S1" s="64" t="str">
        <f>Баланс!B27</f>
        <v>Прочие обязательства</v>
      </c>
      <c r="T1" s="64" t="str">
        <f>Баланс!B31</f>
        <v>Уставный капитал</v>
      </c>
      <c r="U1" s="64" t="str">
        <f>Баланс!B32</f>
        <v>Резерв переоценки курсовых разниц</v>
      </c>
      <c r="V1" s="64" t="str">
        <f>Баланс!B33</f>
        <v>Нераспределенная прибыль</v>
      </c>
      <c r="W1" s="64"/>
    </row>
    <row r="2" spans="1:23" x14ac:dyDescent="0.3">
      <c r="B2" s="110" t="s">
        <v>115</v>
      </c>
      <c r="E2" s="67" t="s">
        <v>1</v>
      </c>
      <c r="F2" s="67">
        <f>Баланс!E11</f>
        <v>875</v>
      </c>
      <c r="G2" s="67">
        <f>Баланс!E12</f>
        <v>624</v>
      </c>
      <c r="H2" s="67">
        <f>Баланс!E13</f>
        <v>149</v>
      </c>
      <c r="I2" s="67">
        <f>Баланс!E14</f>
        <v>3745</v>
      </c>
      <c r="J2" s="67">
        <f>Баланс!E15</f>
        <v>68</v>
      </c>
      <c r="K2" s="67">
        <f>Баланс!E16</f>
        <v>1</v>
      </c>
      <c r="L2" s="67">
        <f>Баланс!E17</f>
        <v>99</v>
      </c>
      <c r="M2" s="67">
        <f>Баланс!E18</f>
        <v>15</v>
      </c>
      <c r="N2" s="67">
        <f>Баланс!E19</f>
        <v>20</v>
      </c>
      <c r="O2" s="67">
        <f>Баланс!E20</f>
        <v>220</v>
      </c>
      <c r="P2" s="67">
        <f>-Баланс!E24</f>
        <v>-75</v>
      </c>
      <c r="Q2" s="67">
        <f>-Баланс!E25</f>
        <v>-134</v>
      </c>
      <c r="R2" s="67">
        <f>-Баланс!E26</f>
        <v>-107</v>
      </c>
      <c r="S2" s="67">
        <f>-Баланс!E27</f>
        <v>-248</v>
      </c>
      <c r="T2" s="67">
        <f>-Баланс!E31</f>
        <v>-1223</v>
      </c>
      <c r="U2" s="67">
        <f>-Баланс!E32</f>
        <v>654</v>
      </c>
      <c r="V2" s="67">
        <f>-Баланс!E33</f>
        <v>-4683</v>
      </c>
      <c r="W2" s="16">
        <f>SUM(F2:V2)</f>
        <v>0</v>
      </c>
    </row>
    <row r="3" spans="1:23" x14ac:dyDescent="0.3">
      <c r="B3" s="110" t="s">
        <v>114</v>
      </c>
      <c r="W3" s="16"/>
    </row>
    <row r="4" spans="1:23" x14ac:dyDescent="0.3">
      <c r="B4" s="111" t="s">
        <v>108</v>
      </c>
      <c r="W4" s="16"/>
    </row>
    <row r="5" spans="1:23" x14ac:dyDescent="0.3">
      <c r="W5" s="16"/>
    </row>
    <row r="6" spans="1:23" x14ac:dyDescent="0.3">
      <c r="W6" s="16"/>
    </row>
    <row r="7" spans="1:23" x14ac:dyDescent="0.3">
      <c r="E7" s="67" t="s">
        <v>97</v>
      </c>
      <c r="F7" s="67">
        <f>Баланс!D11</f>
        <v>408</v>
      </c>
      <c r="G7" s="67">
        <f>Баланс!D12</f>
        <v>2108</v>
      </c>
      <c r="H7" s="67">
        <f>Баланс!D13</f>
        <v>432</v>
      </c>
      <c r="I7" s="67">
        <f>Баланс!D14</f>
        <v>2533</v>
      </c>
      <c r="J7" s="67">
        <f>Баланс!D15</f>
        <v>0</v>
      </c>
      <c r="K7" s="67">
        <f>Баланс!D16</f>
        <v>1</v>
      </c>
      <c r="L7" s="67">
        <f>Баланс!D17</f>
        <v>0</v>
      </c>
      <c r="M7" s="67">
        <f>Баланс!D18</f>
        <v>19</v>
      </c>
      <c r="N7" s="67">
        <f>Баланс!D19</f>
        <v>20</v>
      </c>
      <c r="O7" s="67">
        <f>Баланс!D20</f>
        <v>294</v>
      </c>
      <c r="P7" s="67">
        <f>-Баланс!D24</f>
        <v>-101</v>
      </c>
      <c r="Q7" s="67">
        <f>-Баланс!D25</f>
        <v>-18</v>
      </c>
      <c r="R7" s="67">
        <f>-Баланс!D26</f>
        <v>0</v>
      </c>
      <c r="S7" s="67">
        <f>-Баланс!D27</f>
        <v>-469</v>
      </c>
      <c r="T7" s="67">
        <f>-Баланс!D31</f>
        <v>-1223</v>
      </c>
      <c r="U7" s="67">
        <f>-Баланс!D32</f>
        <v>641</v>
      </c>
      <c r="V7" s="67">
        <f>-Баланс!D33</f>
        <v>-4645</v>
      </c>
      <c r="W7" s="16">
        <f>SUM(F7:V7)</f>
        <v>0</v>
      </c>
    </row>
    <row r="8" spans="1:23" x14ac:dyDescent="0.3">
      <c r="B8" s="67"/>
      <c r="C8" s="115"/>
      <c r="D8" s="115"/>
      <c r="E8" s="16" t="s">
        <v>24</v>
      </c>
      <c r="F8" s="68">
        <f>F2-F7</f>
        <v>467</v>
      </c>
      <c r="G8" s="68">
        <f t="shared" ref="G8:H8" si="0">G2-G7</f>
        <v>-1484</v>
      </c>
      <c r="H8" s="68">
        <f t="shared" si="0"/>
        <v>-283</v>
      </c>
      <c r="I8" s="68">
        <f>I2-I7</f>
        <v>1212</v>
      </c>
      <c r="J8" s="68">
        <f t="shared" ref="J8:O8" si="1">J2-J7</f>
        <v>68</v>
      </c>
      <c r="K8" s="68">
        <f t="shared" si="1"/>
        <v>0</v>
      </c>
      <c r="L8" s="68">
        <f t="shared" ref="L8" si="2">L2-L7</f>
        <v>99</v>
      </c>
      <c r="M8" s="68">
        <f t="shared" si="1"/>
        <v>-4</v>
      </c>
      <c r="N8" s="68">
        <f t="shared" si="1"/>
        <v>0</v>
      </c>
      <c r="O8" s="68">
        <f t="shared" si="1"/>
        <v>-74</v>
      </c>
      <c r="P8" s="68">
        <f t="shared" ref="P8" si="3">P2-P7</f>
        <v>26</v>
      </c>
      <c r="Q8" s="68">
        <f t="shared" ref="Q8:V8" si="4">Q2-Q7</f>
        <v>-116</v>
      </c>
      <c r="R8" s="68">
        <f t="shared" si="4"/>
        <v>-107</v>
      </c>
      <c r="S8" s="68">
        <f t="shared" ref="S8" si="5">S2-S7</f>
        <v>221</v>
      </c>
      <c r="T8" s="68">
        <f t="shared" si="4"/>
        <v>0</v>
      </c>
      <c r="U8" s="68">
        <f t="shared" si="4"/>
        <v>13</v>
      </c>
      <c r="V8" s="68">
        <f t="shared" si="4"/>
        <v>-38</v>
      </c>
      <c r="W8" s="68">
        <f>W7-W2</f>
        <v>0</v>
      </c>
    </row>
    <row r="9" spans="1:23" x14ac:dyDescent="0.3">
      <c r="B9" s="69"/>
      <c r="C9" s="116" t="s">
        <v>100</v>
      </c>
      <c r="D9" s="116">
        <v>2024</v>
      </c>
      <c r="E9" s="70">
        <v>2024</v>
      </c>
      <c r="F9" s="71">
        <f t="shared" ref="F9:W9" si="6">SUM(F10:F46)-F8</f>
        <v>-467</v>
      </c>
      <c r="G9" s="71">
        <f t="shared" si="6"/>
        <v>0</v>
      </c>
      <c r="H9" s="71">
        <f t="shared" si="6"/>
        <v>0</v>
      </c>
      <c r="I9" s="71">
        <f t="shared" si="6"/>
        <v>0</v>
      </c>
      <c r="J9" s="71">
        <f t="shared" si="6"/>
        <v>0</v>
      </c>
      <c r="K9" s="71">
        <f t="shared" si="6"/>
        <v>0</v>
      </c>
      <c r="L9" s="71">
        <f t="shared" si="6"/>
        <v>0</v>
      </c>
      <c r="M9" s="71">
        <f t="shared" si="6"/>
        <v>0</v>
      </c>
      <c r="N9" s="71">
        <f t="shared" si="6"/>
        <v>0</v>
      </c>
      <c r="O9" s="71">
        <f t="shared" si="6"/>
        <v>0</v>
      </c>
      <c r="P9" s="71">
        <f t="shared" si="6"/>
        <v>0</v>
      </c>
      <c r="Q9" s="71">
        <f t="shared" si="6"/>
        <v>0</v>
      </c>
      <c r="R9" s="71">
        <f t="shared" si="6"/>
        <v>0</v>
      </c>
      <c r="S9" s="71">
        <f t="shared" si="6"/>
        <v>0</v>
      </c>
      <c r="T9" s="71">
        <f t="shared" si="6"/>
        <v>0</v>
      </c>
      <c r="U9" s="71">
        <f t="shared" si="6"/>
        <v>0</v>
      </c>
      <c r="V9" s="71">
        <f t="shared" si="6"/>
        <v>0</v>
      </c>
      <c r="W9" s="71">
        <f t="shared" si="6"/>
        <v>0</v>
      </c>
    </row>
    <row r="10" spans="1:23" x14ac:dyDescent="0.3">
      <c r="B10" s="72"/>
      <c r="C10" s="73"/>
      <c r="D10" s="73"/>
    </row>
    <row r="11" spans="1:23" s="75" customFormat="1" x14ac:dyDescent="0.3">
      <c r="A11" s="81"/>
      <c r="B11" s="104" t="s">
        <v>16</v>
      </c>
      <c r="C11" s="73">
        <f t="shared" ref="C11:C30" si="7">ROUND(E11,0)</f>
        <v>-38</v>
      </c>
      <c r="D11" s="74">
        <v>3528</v>
      </c>
      <c r="E11" s="67">
        <f t="shared" ref="E11:E17" si="8">SUM(F11:V11)</f>
        <v>-38</v>
      </c>
      <c r="V11" s="67">
        <f>V8</f>
        <v>-38</v>
      </c>
    </row>
    <row r="12" spans="1:23" s="75" customFormat="1" x14ac:dyDescent="0.3">
      <c r="A12" s="81"/>
      <c r="B12" s="103" t="s">
        <v>64</v>
      </c>
      <c r="C12" s="74"/>
      <c r="D12" s="74"/>
      <c r="E12" s="67">
        <f t="shared" si="8"/>
        <v>0</v>
      </c>
    </row>
    <row r="13" spans="1:23" s="75" customFormat="1" x14ac:dyDescent="0.3">
      <c r="A13" s="81"/>
      <c r="B13" s="101" t="s">
        <v>60</v>
      </c>
      <c r="C13" s="74">
        <f t="shared" si="7"/>
        <v>0</v>
      </c>
      <c r="D13" s="74">
        <v>55</v>
      </c>
      <c r="E13" s="67">
        <f t="shared" si="8"/>
        <v>0</v>
      </c>
      <c r="L13" s="67"/>
    </row>
    <row r="14" spans="1:23" s="75" customFormat="1" x14ac:dyDescent="0.3">
      <c r="A14" s="81"/>
      <c r="B14" s="101" t="s">
        <v>65</v>
      </c>
      <c r="C14" s="74">
        <f t="shared" si="7"/>
        <v>4</v>
      </c>
      <c r="D14" s="74">
        <v>11</v>
      </c>
      <c r="E14" s="67">
        <f t="shared" si="8"/>
        <v>3.8195079368190012</v>
      </c>
      <c r="M14" s="67">
        <f>1383847.19/510.28/1000</f>
        <v>2.7119369561809203</v>
      </c>
      <c r="N14" s="67">
        <f>565171.32/510.28/1000</f>
        <v>1.1075709806380809</v>
      </c>
    </row>
    <row r="15" spans="1:23" s="75" customFormat="1" x14ac:dyDescent="0.3">
      <c r="A15" s="81"/>
      <c r="B15" s="101" t="s">
        <v>66</v>
      </c>
      <c r="C15" s="74">
        <f t="shared" si="7"/>
        <v>0</v>
      </c>
      <c r="D15" s="74">
        <v>-25</v>
      </c>
      <c r="E15" s="67">
        <f t="shared" si="8"/>
        <v>0</v>
      </c>
      <c r="L15" s="67"/>
      <c r="R15" s="67"/>
    </row>
    <row r="16" spans="1:23" s="75" customFormat="1" x14ac:dyDescent="0.3">
      <c r="A16" s="81"/>
      <c r="B16" s="101" t="s">
        <v>67</v>
      </c>
      <c r="C16" s="74">
        <f t="shared" si="7"/>
        <v>0</v>
      </c>
      <c r="D16" s="74">
        <v>0</v>
      </c>
      <c r="E16" s="67">
        <f t="shared" si="8"/>
        <v>0</v>
      </c>
    </row>
    <row r="17" spans="1:19" s="75" customFormat="1" x14ac:dyDescent="0.3">
      <c r="A17" s="81"/>
      <c r="B17" s="101" t="s">
        <v>43</v>
      </c>
      <c r="C17" s="74">
        <f t="shared" si="7"/>
        <v>0</v>
      </c>
      <c r="D17" s="74">
        <v>25</v>
      </c>
      <c r="E17" s="67">
        <f t="shared" si="8"/>
        <v>0</v>
      </c>
      <c r="R17" s="67"/>
      <c r="S17" s="67"/>
    </row>
    <row r="18" spans="1:19" s="75" customFormat="1" ht="25.75" customHeight="1" x14ac:dyDescent="0.3">
      <c r="A18" s="81"/>
      <c r="B18" s="103" t="s">
        <v>87</v>
      </c>
      <c r="C18" s="76">
        <f>SUM(C11:C17)</f>
        <v>-34</v>
      </c>
      <c r="D18" s="76">
        <f>SUM(D11:D17)</f>
        <v>3594</v>
      </c>
      <c r="E18" s="76">
        <f t="shared" ref="E18" si="9">SUM(E11:E17)</f>
        <v>-34.180492063180999</v>
      </c>
    </row>
    <row r="19" spans="1:19" x14ac:dyDescent="0.3">
      <c r="B19" s="66" t="s">
        <v>68</v>
      </c>
      <c r="C19" s="73"/>
      <c r="D19" s="74"/>
    </row>
    <row r="20" spans="1:19" x14ac:dyDescent="0.3">
      <c r="B20" s="101" t="s">
        <v>69</v>
      </c>
      <c r="C20" s="74">
        <f t="shared" si="7"/>
        <v>68</v>
      </c>
      <c r="D20" s="74">
        <v>1</v>
      </c>
      <c r="E20" s="67">
        <f t="shared" ref="E20:E30" si="10">SUM(F20:V20)</f>
        <v>68</v>
      </c>
      <c r="J20" s="67">
        <f>J8</f>
        <v>68</v>
      </c>
    </row>
    <row r="21" spans="1:19" x14ac:dyDescent="0.3">
      <c r="B21" s="101" t="s">
        <v>70</v>
      </c>
      <c r="C21" s="74">
        <f t="shared" si="7"/>
        <v>1212</v>
      </c>
      <c r="D21" s="74">
        <v>-2780</v>
      </c>
      <c r="E21" s="67">
        <f t="shared" si="10"/>
        <v>1212</v>
      </c>
      <c r="I21" s="67">
        <f>I8</f>
        <v>1212</v>
      </c>
    </row>
    <row r="22" spans="1:19" x14ac:dyDescent="0.3">
      <c r="B22" s="28" t="s">
        <v>58</v>
      </c>
      <c r="C22" s="74">
        <f t="shared" si="7"/>
        <v>99</v>
      </c>
      <c r="D22" s="74">
        <v>0</v>
      </c>
      <c r="E22" s="67">
        <f t="shared" si="10"/>
        <v>99</v>
      </c>
      <c r="L22" s="67">
        <f>L8</f>
        <v>99</v>
      </c>
    </row>
    <row r="23" spans="1:19" x14ac:dyDescent="0.3">
      <c r="B23" s="101" t="s">
        <v>71</v>
      </c>
      <c r="C23" s="74">
        <f t="shared" si="7"/>
        <v>-74</v>
      </c>
      <c r="D23" s="74">
        <v>-71</v>
      </c>
      <c r="E23" s="67">
        <f t="shared" si="10"/>
        <v>-74</v>
      </c>
      <c r="O23" s="67">
        <f>O8</f>
        <v>-74</v>
      </c>
    </row>
    <row r="24" spans="1:19" x14ac:dyDescent="0.3">
      <c r="B24" s="101" t="s">
        <v>90</v>
      </c>
      <c r="C24" s="74">
        <f t="shared" si="7"/>
        <v>0</v>
      </c>
      <c r="D24" s="74">
        <v>-1</v>
      </c>
      <c r="E24" s="67">
        <f t="shared" si="10"/>
        <v>0</v>
      </c>
      <c r="K24" s="67">
        <f>K8</f>
        <v>0</v>
      </c>
    </row>
    <row r="25" spans="1:19" x14ac:dyDescent="0.3">
      <c r="B25" s="102" t="s">
        <v>72</v>
      </c>
      <c r="C25" s="74">
        <f t="shared" si="7"/>
        <v>-107</v>
      </c>
      <c r="D25" s="74">
        <v>0</v>
      </c>
      <c r="E25" s="67">
        <f t="shared" si="10"/>
        <v>-107</v>
      </c>
      <c r="M25" s="65"/>
      <c r="N25" s="65"/>
      <c r="O25" s="65"/>
      <c r="P25" s="65"/>
      <c r="Q25" s="65"/>
      <c r="R25" s="65">
        <f>R8-R15-R17-R39</f>
        <v>-107</v>
      </c>
      <c r="S25" s="65"/>
    </row>
    <row r="26" spans="1:19" ht="25" x14ac:dyDescent="0.3">
      <c r="B26" s="102" t="s">
        <v>73</v>
      </c>
      <c r="C26" s="74">
        <f t="shared" si="7"/>
        <v>26</v>
      </c>
      <c r="D26" s="74">
        <v>18</v>
      </c>
      <c r="E26" s="67">
        <f t="shared" si="10"/>
        <v>26</v>
      </c>
      <c r="L26" s="65"/>
      <c r="P26" s="67">
        <f>P8</f>
        <v>26</v>
      </c>
    </row>
    <row r="27" spans="1:19" ht="13.75" customHeight="1" x14ac:dyDescent="0.3">
      <c r="B27" s="102" t="s">
        <v>74</v>
      </c>
      <c r="C27" s="74">
        <f t="shared" si="7"/>
        <v>-116</v>
      </c>
      <c r="D27" s="74">
        <v>73</v>
      </c>
      <c r="E27" s="67">
        <f t="shared" si="10"/>
        <v>-116</v>
      </c>
      <c r="Q27" s="67">
        <f>Q8</f>
        <v>-116</v>
      </c>
    </row>
    <row r="28" spans="1:19" x14ac:dyDescent="0.3">
      <c r="B28" s="101" t="s">
        <v>75</v>
      </c>
      <c r="C28" s="106">
        <f t="shared" si="7"/>
        <v>221</v>
      </c>
      <c r="D28" s="106">
        <v>137</v>
      </c>
      <c r="E28" s="107">
        <f t="shared" si="10"/>
        <v>221</v>
      </c>
      <c r="S28" s="67">
        <f>S8-S30</f>
        <v>221</v>
      </c>
    </row>
    <row r="29" spans="1:19" ht="25" x14ac:dyDescent="0.3">
      <c r="B29" s="103" t="s">
        <v>95</v>
      </c>
      <c r="C29" s="73">
        <f>SUM(C18:C28)</f>
        <v>1295</v>
      </c>
      <c r="D29" s="73">
        <f>SUM(D18:D28)</f>
        <v>971</v>
      </c>
      <c r="E29" s="73">
        <f t="shared" ref="E29" si="11">SUM(E18:E28)</f>
        <v>1294.819507936819</v>
      </c>
    </row>
    <row r="30" spans="1:19" x14ac:dyDescent="0.3">
      <c r="B30" s="101" t="s">
        <v>94</v>
      </c>
      <c r="C30" s="74">
        <f t="shared" si="7"/>
        <v>0</v>
      </c>
      <c r="D30" s="74">
        <v>-15</v>
      </c>
      <c r="E30" s="107">
        <f t="shared" si="10"/>
        <v>0</v>
      </c>
    </row>
    <row r="31" spans="1:19" ht="28" x14ac:dyDescent="0.3">
      <c r="B31" s="72" t="s">
        <v>76</v>
      </c>
      <c r="C31" s="76">
        <f>SUM(C29:C30)</f>
        <v>1295</v>
      </c>
      <c r="D31" s="76">
        <v>956</v>
      </c>
      <c r="E31" s="76">
        <f t="shared" ref="E31" si="12">SUM(E29:E30)</f>
        <v>1294.819507936819</v>
      </c>
    </row>
    <row r="32" spans="1:19" x14ac:dyDescent="0.3">
      <c r="C32" s="74"/>
      <c r="D32" s="74"/>
    </row>
    <row r="33" spans="1:23" ht="25" x14ac:dyDescent="0.3">
      <c r="B33" s="103" t="s">
        <v>77</v>
      </c>
      <c r="C33" s="74"/>
      <c r="D33" s="74"/>
    </row>
    <row r="34" spans="1:23" x14ac:dyDescent="0.3">
      <c r="B34" s="101" t="s">
        <v>89</v>
      </c>
      <c r="C34" s="74">
        <f>ROUND(E34,0)</f>
        <v>-1484</v>
      </c>
      <c r="D34" s="74">
        <v>-624</v>
      </c>
      <c r="E34" s="67">
        <f t="shared" ref="E34:E36" si="13">SUM(F34:V34)</f>
        <v>-1484</v>
      </c>
      <c r="G34" s="67">
        <f>G8</f>
        <v>-1484</v>
      </c>
    </row>
    <row r="35" spans="1:23" x14ac:dyDescent="0.3">
      <c r="B35" s="101" t="s">
        <v>88</v>
      </c>
      <c r="C35" s="74">
        <f t="shared" ref="C35:C36" si="14">ROUND(E35,0)</f>
        <v>-283</v>
      </c>
      <c r="D35" s="74">
        <v>-149</v>
      </c>
      <c r="E35" s="67">
        <f t="shared" si="13"/>
        <v>-283</v>
      </c>
      <c r="H35" s="67">
        <f>H8</f>
        <v>-283</v>
      </c>
    </row>
    <row r="36" spans="1:23" x14ac:dyDescent="0.3">
      <c r="B36" s="101" t="s">
        <v>78</v>
      </c>
      <c r="C36" s="74">
        <f t="shared" si="14"/>
        <v>-8</v>
      </c>
      <c r="D36" s="74">
        <v>-35</v>
      </c>
      <c r="E36" s="67">
        <f t="shared" si="13"/>
        <v>-7.8195079368190017</v>
      </c>
      <c r="M36" s="67">
        <f>M8-M14</f>
        <v>-6.7119369561809208</v>
      </c>
      <c r="N36" s="67">
        <f>N8-N14</f>
        <v>-1.1075709806380809</v>
      </c>
    </row>
    <row r="37" spans="1:23" ht="25" x14ac:dyDescent="0.3">
      <c r="B37" s="103" t="s">
        <v>79</v>
      </c>
      <c r="C37" s="76">
        <f>SUM(C34:C36)</f>
        <v>-1775</v>
      </c>
      <c r="D37" s="76">
        <v>-808</v>
      </c>
      <c r="E37" s="76">
        <f t="shared" ref="E37" si="15">SUM(E34:E36)</f>
        <v>-1774.819507936819</v>
      </c>
    </row>
    <row r="38" spans="1:23" x14ac:dyDescent="0.3">
      <c r="B38" s="103" t="s">
        <v>84</v>
      </c>
      <c r="C38" s="74"/>
      <c r="D38" s="74"/>
    </row>
    <row r="39" spans="1:23" x14ac:dyDescent="0.3">
      <c r="B39" s="101" t="s">
        <v>91</v>
      </c>
      <c r="C39" s="74">
        <f>ROUND(E39,0)</f>
        <v>0</v>
      </c>
      <c r="D39" s="74">
        <v>-71</v>
      </c>
      <c r="E39" s="67">
        <f t="shared" ref="E39:E40" si="16">SUM(F39:V39)</f>
        <v>0</v>
      </c>
    </row>
    <row r="40" spans="1:23" x14ac:dyDescent="0.3">
      <c r="B40" s="101" t="s">
        <v>57</v>
      </c>
      <c r="C40" s="74">
        <f>ROUND(E40,0)</f>
        <v>0</v>
      </c>
      <c r="D40" s="74">
        <v>-490</v>
      </c>
      <c r="E40" s="67">
        <f t="shared" si="16"/>
        <v>0</v>
      </c>
    </row>
    <row r="41" spans="1:23" ht="36.65" customHeight="1" x14ac:dyDescent="0.3">
      <c r="B41" s="103" t="s">
        <v>86</v>
      </c>
      <c r="C41" s="77">
        <f>SUM(C39:C40)</f>
        <v>0</v>
      </c>
      <c r="D41" s="77">
        <v>-561</v>
      </c>
      <c r="E41" s="77">
        <f>SUM(E39:E40)</f>
        <v>0</v>
      </c>
    </row>
    <row r="42" spans="1:23" s="75" customFormat="1" ht="41.4" customHeight="1" x14ac:dyDescent="0.3">
      <c r="A42" s="81"/>
      <c r="B42" s="103" t="s">
        <v>80</v>
      </c>
      <c r="C42" s="78">
        <f>C41+C37+C31</f>
        <v>-480</v>
      </c>
      <c r="D42" s="78">
        <v>-413</v>
      </c>
      <c r="E42" s="78">
        <f>E41+E37+E31</f>
        <v>-480</v>
      </c>
    </row>
    <row r="43" spans="1:23" x14ac:dyDescent="0.3">
      <c r="B43" s="101" t="s">
        <v>85</v>
      </c>
      <c r="C43" s="74">
        <f>ROUND(E43,0)</f>
        <v>13</v>
      </c>
      <c r="D43" s="74">
        <v>-701</v>
      </c>
      <c r="E43" s="67">
        <f>SUM(F43:V43)</f>
        <v>13</v>
      </c>
      <c r="U43" s="67">
        <f>U8</f>
        <v>13</v>
      </c>
    </row>
    <row r="44" spans="1:23" ht="41.4" customHeight="1" x14ac:dyDescent="0.3">
      <c r="B44" s="101" t="s">
        <v>81</v>
      </c>
      <c r="C44" s="74">
        <v>0</v>
      </c>
      <c r="D44" s="78">
        <v>24</v>
      </c>
      <c r="E44" s="67">
        <v>-26</v>
      </c>
    </row>
    <row r="45" spans="1:23" ht="25" x14ac:dyDescent="0.3">
      <c r="B45" s="101" t="s">
        <v>82</v>
      </c>
      <c r="C45" s="74">
        <f>D46</f>
        <v>875</v>
      </c>
      <c r="D45" s="74">
        <v>1965</v>
      </c>
      <c r="E45" s="67">
        <f>F2</f>
        <v>875</v>
      </c>
    </row>
    <row r="46" spans="1:23" ht="25" x14ac:dyDescent="0.3">
      <c r="B46" s="103" t="s">
        <v>83</v>
      </c>
      <c r="C46" s="77">
        <f>SUM(C42:C45)</f>
        <v>408</v>
      </c>
      <c r="D46" s="77">
        <v>875</v>
      </c>
      <c r="E46" s="77">
        <f>SUM(E42:E45)</f>
        <v>382</v>
      </c>
    </row>
    <row r="47" spans="1:23" x14ac:dyDescent="0.3">
      <c r="C47" s="79">
        <f>Баланс!D11-C46</f>
        <v>0</v>
      </c>
      <c r="D47" s="79">
        <f>SUM(D42:D45)-D46</f>
        <v>0</v>
      </c>
      <c r="E47" s="79">
        <f>Баланс!D11-E46</f>
        <v>26</v>
      </c>
      <c r="F47" s="80">
        <f t="shared" ref="F47:W47" si="17">SUM(F10:F46)-F8</f>
        <v>-467</v>
      </c>
      <c r="G47" s="80">
        <f t="shared" si="17"/>
        <v>0</v>
      </c>
      <c r="H47" s="80">
        <f t="shared" si="17"/>
        <v>0</v>
      </c>
      <c r="I47" s="80">
        <f t="shared" si="17"/>
        <v>0</v>
      </c>
      <c r="J47" s="80">
        <f t="shared" si="17"/>
        <v>0</v>
      </c>
      <c r="K47" s="80">
        <f t="shared" si="17"/>
        <v>0</v>
      </c>
      <c r="L47" s="80">
        <f t="shared" si="17"/>
        <v>0</v>
      </c>
      <c r="M47" s="80">
        <f t="shared" si="17"/>
        <v>0</v>
      </c>
      <c r="N47" s="80">
        <f t="shared" si="17"/>
        <v>0</v>
      </c>
      <c r="O47" s="80">
        <f t="shared" si="17"/>
        <v>0</v>
      </c>
      <c r="P47" s="80">
        <f t="shared" si="17"/>
        <v>0</v>
      </c>
      <c r="Q47" s="80">
        <f t="shared" si="17"/>
        <v>0</v>
      </c>
      <c r="R47" s="80">
        <f t="shared" si="17"/>
        <v>0</v>
      </c>
      <c r="S47" s="80">
        <f t="shared" si="17"/>
        <v>0</v>
      </c>
      <c r="T47" s="80">
        <f t="shared" si="17"/>
        <v>0</v>
      </c>
      <c r="U47" s="80">
        <f t="shared" si="17"/>
        <v>0</v>
      </c>
      <c r="V47" s="80">
        <f t="shared" si="17"/>
        <v>0</v>
      </c>
      <c r="W47" s="80">
        <f t="shared" si="17"/>
        <v>0</v>
      </c>
    </row>
    <row r="51" spans="2:3" x14ac:dyDescent="0.3">
      <c r="B51" s="82" t="s">
        <v>109</v>
      </c>
      <c r="C51" s="82" t="s">
        <v>111</v>
      </c>
    </row>
    <row r="52" spans="2:3" x14ac:dyDescent="0.3">
      <c r="B52" s="82" t="s">
        <v>110</v>
      </c>
      <c r="C52" s="82" t="s">
        <v>112</v>
      </c>
    </row>
    <row r="53" spans="2:3" x14ac:dyDescent="0.3">
      <c r="B53" s="1"/>
      <c r="C53" s="1"/>
    </row>
    <row r="55" spans="2:3" x14ac:dyDescent="0.3">
      <c r="B55" s="112" t="s">
        <v>117</v>
      </c>
    </row>
    <row r="56" spans="2:3" x14ac:dyDescent="0.3">
      <c r="B56" s="112" t="s">
        <v>118</v>
      </c>
    </row>
    <row r="57" spans="2:3" x14ac:dyDescent="0.3">
      <c r="B57" s="112" t="s">
        <v>119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O33"/>
  <sheetViews>
    <sheetView showGridLines="0" tabSelected="1" topLeftCell="A5" workbookViewId="0">
      <selection activeCell="D32" sqref="D32"/>
    </sheetView>
  </sheetViews>
  <sheetFormatPr defaultColWidth="8.90625" defaultRowHeight="13" x14ac:dyDescent="0.3"/>
  <cols>
    <col min="1" max="1" width="8.90625" style="1"/>
    <col min="2" max="2" width="34.6328125" style="1" customWidth="1"/>
    <col min="3" max="3" width="6.36328125" style="1" customWidth="1"/>
    <col min="4" max="4" width="13.90625" style="1" customWidth="1"/>
    <col min="5" max="6" width="19" style="1" customWidth="1"/>
    <col min="7" max="7" width="12.54296875" style="1" customWidth="1"/>
    <col min="8" max="8" width="12.81640625" style="1" customWidth="1"/>
    <col min="9" max="9" width="14.453125" style="85" bestFit="1" customWidth="1"/>
    <col min="10" max="10" width="12.81640625" style="85" customWidth="1"/>
    <col min="11" max="11" width="14.453125" style="85" bestFit="1" customWidth="1"/>
    <col min="12" max="12" width="8.90625" style="85"/>
    <col min="13" max="13" width="14.453125" style="85" bestFit="1" customWidth="1"/>
    <col min="14" max="14" width="8.90625" style="85"/>
    <col min="15" max="15" width="14.453125" style="85" bestFit="1" customWidth="1"/>
    <col min="16" max="16384" width="8.90625" style="1"/>
  </cols>
  <sheetData>
    <row r="1" spans="2:15" ht="14" x14ac:dyDescent="0.3">
      <c r="B1" s="110" t="s">
        <v>105</v>
      </c>
    </row>
    <row r="2" spans="2:15" ht="14" x14ac:dyDescent="0.3">
      <c r="B2" s="110" t="s">
        <v>116</v>
      </c>
    </row>
    <row r="3" spans="2:15" ht="14" x14ac:dyDescent="0.3">
      <c r="B3" s="110" t="s">
        <v>114</v>
      </c>
    </row>
    <row r="4" spans="2:15" x14ac:dyDescent="0.3">
      <c r="B4" s="111" t="s">
        <v>108</v>
      </c>
    </row>
    <row r="5" spans="2:15" ht="77.400000000000006" customHeight="1" thickBot="1" x14ac:dyDescent="0.35">
      <c r="B5" s="2"/>
      <c r="C5" s="18"/>
      <c r="D5" s="43" t="s">
        <v>22</v>
      </c>
      <c r="E5" s="43" t="s">
        <v>51</v>
      </c>
      <c r="F5" s="43" t="s">
        <v>52</v>
      </c>
      <c r="G5" s="43" t="s">
        <v>53</v>
      </c>
    </row>
    <row r="6" spans="2:15" x14ac:dyDescent="0.3">
      <c r="B6" s="18"/>
      <c r="C6" s="18"/>
      <c r="D6" s="18"/>
      <c r="E6" s="39"/>
      <c r="F6" s="44"/>
      <c r="G6" s="45"/>
    </row>
    <row r="7" spans="2:15" ht="17.399999999999999" customHeight="1" x14ac:dyDescent="0.3">
      <c r="B7" s="46" t="s">
        <v>55</v>
      </c>
      <c r="C7" s="47"/>
      <c r="D7" s="33">
        <v>1223</v>
      </c>
      <c r="E7" s="33">
        <v>47</v>
      </c>
      <c r="F7" s="33">
        <v>1671</v>
      </c>
      <c r="G7" s="33">
        <f>SUM(D7:F7)</f>
        <v>2941</v>
      </c>
    </row>
    <row r="8" spans="2:15" ht="20.399999999999999" customHeight="1" x14ac:dyDescent="0.3">
      <c r="B8" s="46" t="s">
        <v>103</v>
      </c>
      <c r="C8" s="47"/>
      <c r="D8" s="33">
        <v>0</v>
      </c>
      <c r="E8" s="33">
        <v>0</v>
      </c>
      <c r="F8" s="33">
        <f>ОПИУ!E25</f>
        <v>1862</v>
      </c>
      <c r="G8" s="33">
        <f t="shared" ref="G8:G9" si="0">SUM(D8:F8)</f>
        <v>1862</v>
      </c>
    </row>
    <row r="9" spans="2:15" ht="20.399999999999999" customHeight="1" x14ac:dyDescent="0.3">
      <c r="B9" s="46" t="s">
        <v>51</v>
      </c>
      <c r="C9" s="47"/>
      <c r="D9" s="33">
        <v>0</v>
      </c>
      <c r="E9" s="33">
        <v>136</v>
      </c>
      <c r="F9" s="33">
        <v>0</v>
      </c>
      <c r="G9" s="33">
        <f t="shared" si="0"/>
        <v>136</v>
      </c>
    </row>
    <row r="10" spans="2:15" ht="14.4" customHeight="1" x14ac:dyDescent="0.3">
      <c r="B10" s="51" t="s">
        <v>56</v>
      </c>
      <c r="C10" s="47"/>
      <c r="D10" s="84">
        <f>SUM(D8:D9)</f>
        <v>0</v>
      </c>
      <c r="E10" s="84">
        <f>SUM(E8:E9)</f>
        <v>136</v>
      </c>
      <c r="F10" s="84">
        <f>SUM(F8:F9)</f>
        <v>1862</v>
      </c>
      <c r="G10" s="84">
        <f>SUM(G8:G9)</f>
        <v>1998</v>
      </c>
    </row>
    <row r="11" spans="2:15" ht="19.75" customHeight="1" x14ac:dyDescent="0.3">
      <c r="B11" s="51" t="s">
        <v>21</v>
      </c>
      <c r="C11" s="47"/>
      <c r="D11" s="49"/>
      <c r="E11" s="50"/>
      <c r="F11" s="44"/>
      <c r="G11" s="33"/>
    </row>
    <row r="12" spans="2:15" ht="19.75" customHeight="1" x14ac:dyDescent="0.3">
      <c r="B12" s="46" t="s">
        <v>23</v>
      </c>
      <c r="C12" s="47"/>
      <c r="D12" s="48"/>
      <c r="E12" s="33">
        <v>0</v>
      </c>
      <c r="F12" s="33">
        <v>0</v>
      </c>
      <c r="G12" s="33">
        <f t="shared" ref="G12:G13" si="1">SUM(D12:F12)</f>
        <v>0</v>
      </c>
    </row>
    <row r="13" spans="2:15" ht="21.65" customHeight="1" thickBot="1" x14ac:dyDescent="0.35">
      <c r="B13" s="46" t="s">
        <v>54</v>
      </c>
      <c r="C13" s="47"/>
      <c r="D13" s="53"/>
      <c r="E13" s="33">
        <v>0</v>
      </c>
      <c r="F13" s="33">
        <v>0</v>
      </c>
      <c r="G13" s="33">
        <f t="shared" si="1"/>
        <v>0</v>
      </c>
    </row>
    <row r="14" spans="2:15" ht="13.5" thickBot="1" x14ac:dyDescent="0.35">
      <c r="B14" s="51" t="s">
        <v>101</v>
      </c>
      <c r="C14" s="52"/>
      <c r="D14" s="58">
        <f>D13+D10+D7+D12</f>
        <v>1223</v>
      </c>
      <c r="E14" s="58">
        <f t="shared" ref="E14:G14" si="2">E13+E10+E7+E12</f>
        <v>183</v>
      </c>
      <c r="F14" s="58">
        <f>F13+F10+F7+F12</f>
        <v>3533</v>
      </c>
      <c r="G14" s="58">
        <f t="shared" si="2"/>
        <v>4939</v>
      </c>
    </row>
    <row r="15" spans="2:15" s="61" customFormat="1" ht="13.5" thickTop="1" x14ac:dyDescent="0.3">
      <c r="D15" s="60">
        <f>Баланс!E31-D14</f>
        <v>0</v>
      </c>
      <c r="E15" s="60"/>
      <c r="F15" s="60"/>
      <c r="G15" s="59"/>
      <c r="I15" s="99"/>
      <c r="J15" s="99"/>
      <c r="K15" s="99"/>
      <c r="L15" s="99"/>
      <c r="M15" s="99"/>
      <c r="N15" s="99"/>
      <c r="O15" s="99"/>
    </row>
    <row r="16" spans="2:15" x14ac:dyDescent="0.3">
      <c r="B16" s="46"/>
    </row>
    <row r="17" spans="2:7" x14ac:dyDescent="0.3">
      <c r="B17" s="46" t="s">
        <v>102</v>
      </c>
      <c r="C17" s="47"/>
      <c r="D17" s="33">
        <f>D14</f>
        <v>1223</v>
      </c>
      <c r="E17" s="33">
        <v>-654</v>
      </c>
      <c r="F17" s="33">
        <v>4683</v>
      </c>
      <c r="G17" s="33">
        <f>SUM(D17:F17)</f>
        <v>5252</v>
      </c>
    </row>
    <row r="18" spans="2:7" x14ac:dyDescent="0.3">
      <c r="B18" s="46" t="s">
        <v>103</v>
      </c>
      <c r="C18" s="47"/>
      <c r="D18" s="33">
        <v>0</v>
      </c>
      <c r="E18" s="33">
        <v>0</v>
      </c>
      <c r="F18" s="33">
        <f>ОПИУ!D22</f>
        <v>-38</v>
      </c>
      <c r="G18" s="33">
        <f t="shared" ref="G18:G19" si="3">SUM(D18:F18)</f>
        <v>-38</v>
      </c>
    </row>
    <row r="19" spans="2:7" x14ac:dyDescent="0.3">
      <c r="B19" s="46" t="s">
        <v>51</v>
      </c>
      <c r="C19" s="47"/>
      <c r="D19" s="33">
        <v>0</v>
      </c>
      <c r="E19" s="33">
        <f>ОДДС!C43</f>
        <v>13</v>
      </c>
      <c r="F19" s="33">
        <v>0</v>
      </c>
      <c r="G19" s="33">
        <f t="shared" si="3"/>
        <v>13</v>
      </c>
    </row>
    <row r="20" spans="2:7" x14ac:dyDescent="0.3">
      <c r="B20" s="51" t="s">
        <v>56</v>
      </c>
      <c r="C20" s="47"/>
      <c r="D20" s="84">
        <f>SUM(D18:D19)</f>
        <v>0</v>
      </c>
      <c r="E20" s="84">
        <f>SUM(E18:E19)</f>
        <v>13</v>
      </c>
      <c r="F20" s="84">
        <f>SUM(F18:F19)</f>
        <v>-38</v>
      </c>
      <c r="G20" s="84">
        <f>SUM(G18:G19)</f>
        <v>-25</v>
      </c>
    </row>
    <row r="21" spans="2:7" x14ac:dyDescent="0.3">
      <c r="B21" s="51" t="s">
        <v>21</v>
      </c>
      <c r="C21" s="47"/>
      <c r="D21" s="83"/>
      <c r="E21" s="83"/>
      <c r="F21" s="83"/>
      <c r="G21" s="83"/>
    </row>
    <row r="22" spans="2:7" x14ac:dyDescent="0.3">
      <c r="B22" s="46" t="s">
        <v>57</v>
      </c>
      <c r="C22" s="47"/>
      <c r="D22" s="33">
        <v>0</v>
      </c>
      <c r="E22" s="33">
        <v>0</v>
      </c>
      <c r="F22" s="33"/>
      <c r="G22" s="33">
        <f>SUM(D22:F22)</f>
        <v>0</v>
      </c>
    </row>
    <row r="23" spans="2:7" ht="13.5" thickBot="1" x14ac:dyDescent="0.35">
      <c r="B23" s="51" t="s">
        <v>104</v>
      </c>
      <c r="C23" s="52"/>
      <c r="D23" s="58">
        <f>D20+D17</f>
        <v>1223</v>
      </c>
      <c r="E23" s="58">
        <f>E20+E17</f>
        <v>-641</v>
      </c>
      <c r="F23" s="58">
        <f>F20+F17+F22</f>
        <v>4645</v>
      </c>
      <c r="G23" s="58">
        <f>G20+G17+G22</f>
        <v>5227</v>
      </c>
    </row>
    <row r="24" spans="2:7" ht="13.5" thickTop="1" x14ac:dyDescent="0.3">
      <c r="B24" s="61"/>
      <c r="C24" s="61"/>
      <c r="D24" s="60">
        <f>Баланс!D31-D23</f>
        <v>0</v>
      </c>
      <c r="E24" s="60">
        <f>Баланс!D32-E23</f>
        <v>0</v>
      </c>
      <c r="F24" s="60">
        <f>Баланс!D33-F23</f>
        <v>0</v>
      </c>
      <c r="G24" s="59">
        <f>Баланс!D34-G23</f>
        <v>0</v>
      </c>
    </row>
    <row r="27" spans="2:7" x14ac:dyDescent="0.3">
      <c r="B27" s="82" t="s">
        <v>109</v>
      </c>
      <c r="C27" s="82" t="s">
        <v>111</v>
      </c>
    </row>
    <row r="28" spans="2:7" x14ac:dyDescent="0.3">
      <c r="B28" s="82" t="s">
        <v>110</v>
      </c>
      <c r="C28" s="82" t="s">
        <v>112</v>
      </c>
    </row>
    <row r="31" spans="2:7" x14ac:dyDescent="0.3">
      <c r="B31" s="112" t="s">
        <v>117</v>
      </c>
    </row>
    <row r="32" spans="2:7" x14ac:dyDescent="0.3">
      <c r="B32" s="112" t="s">
        <v>118</v>
      </c>
    </row>
    <row r="33" spans="2:2" x14ac:dyDescent="0.3">
      <c r="B33" s="11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Баланс</vt:lpstr>
      <vt:lpstr>ОДДС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Li</cp:lastModifiedBy>
  <dcterms:created xsi:type="dcterms:W3CDTF">2025-02-21T09:54:42Z</dcterms:created>
  <dcterms:modified xsi:type="dcterms:W3CDTF">2025-04-30T11:56:23Z</dcterms:modified>
</cp:coreProperties>
</file>